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ustomProperty1.bin" ContentType="application/vnd.openxmlformats-officedocument.spreadsheetml.customProperty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tables/table3.xml" ContentType="application/vnd.openxmlformats-officedocument.spreadsheetml.table+xml"/>
  <Override PartName="/xl/customProperty6.bin" ContentType="application/vnd.openxmlformats-officedocument.spreadsheetml.customProperty"/>
  <Override PartName="/xl/tables/table4.xml" ContentType="application/vnd.openxmlformats-officedocument.spreadsheetml.table+xml"/>
  <Override PartName="/xl/customProperty7.bin" ContentType="application/vnd.openxmlformats-officedocument.spreadsheetml.customProperty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ustomProperty8.bin" ContentType="application/vnd.openxmlformats-officedocument.spreadsheetml.customProperty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ustomProperty9.bin" ContentType="application/vnd.openxmlformats-officedocument.spreadsheetml.customProperty"/>
  <Override PartName="/xl/tables/table9.xml" ContentType="application/vnd.openxmlformats-officedocument.spreadsheetml.table+xml"/>
  <Override PartName="/xl/customProperty10.bin" ContentType="application/vnd.openxmlformats-officedocument.spreadsheetml.customProperty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P:\Sala de Control ILO2\29 Planta Punta Lomitas\Reporte para COES PLOM\01 Ejecutado y Predicción diario Viento y Potencia\2024\10 Octubre\20241018\"/>
    </mc:Choice>
  </mc:AlternateContent>
  <xr:revisionPtr revIDLastSave="0" documentId="13_ncr:1_{66A357EA-DDA1-4DB2-A364-F97AA35F473F}" xr6:coauthVersionLast="47" xr6:coauthVersionMax="47" xr10:uidLastSave="{00000000-0000-0000-0000-000000000000}"/>
  <bookViews>
    <workbookView xWindow="-120" yWindow="-120" windowWidth="29040" windowHeight="15720" tabRatio="830" firstSheet="1" activeTab="7" xr2:uid="{9FF89010-2212-4005-8F76-D8E0470E5BB7}"/>
  </bookViews>
  <sheets>
    <sheet name="PC" sheetId="6" state="hidden" r:id="rId1"/>
    <sheet name="Plantilla Datos" sheetId="11" r:id="rId2"/>
    <sheet name="Plantilla AEG ES" sheetId="8" r:id="rId3"/>
    <sheet name="Windy_web" sheetId="3" state="hidden" r:id="rId4"/>
    <sheet name="Wyndy Procesada" sheetId="1" state="hidden" r:id="rId5"/>
    <sheet name="Darwin Procesada" sheetId="7" state="hidden" r:id="rId6"/>
    <sheet name="CCE PLOM Diario" sheetId="10" r:id="rId7"/>
    <sheet name="CCE PLOME Diario" sheetId="12" r:id="rId8"/>
    <sheet name="CCE PLOM 10d" sheetId="13" state="hidden" r:id="rId9"/>
    <sheet name="CCE PLOME 10d" sheetId="14" state="hidden" r:id="rId10"/>
    <sheet name="DIAGRAMA PE Punta Lomitas" sheetId="15" r:id="rId11"/>
    <sheet name="DIAGRAMA PLOME 10d" sheetId="17" state="hidden" r:id="rId12"/>
  </sheets>
  <definedNames>
    <definedName name="_xlnm._FilterDatabase" localSheetId="2" hidden="1">'Plantilla AEG ES'!$B$18:$F$75</definedName>
    <definedName name="Data_Darwin">'Plantilla Datos'!$B$8:$F$245</definedName>
    <definedName name="Data_Wind_Scada">'Plantilla Datos'!$I$8:$K$56</definedName>
  </definedNames>
  <calcPr calcId="191029" concurrentManualCount="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" i="8" l="1"/>
  <c r="G17" i="8" s="1"/>
  <c r="B9" i="11"/>
  <c r="A3" i="12"/>
  <c r="A1" i="12" s="1"/>
  <c r="A3" i="10"/>
  <c r="A1" i="10" s="1"/>
  <c r="I9" i="11"/>
  <c r="H4" i="7"/>
  <c r="N10" i="11"/>
  <c r="N11" i="11" s="1"/>
  <c r="N12" i="11" s="1"/>
  <c r="N13" i="11" s="1"/>
  <c r="N14" i="11" s="1"/>
  <c r="N15" i="11" s="1"/>
  <c r="N16" i="11" s="1"/>
  <c r="N17" i="11" s="1"/>
  <c r="N18" i="11" s="1"/>
  <c r="N19" i="11" s="1"/>
  <c r="N20" i="11" s="1"/>
  <c r="N21" i="11" s="1"/>
  <c r="N22" i="11" s="1"/>
  <c r="N23" i="11" s="1"/>
  <c r="N24" i="11" s="1"/>
  <c r="N25" i="11" s="1"/>
  <c r="N26" i="11" s="1"/>
  <c r="N27" i="11" s="1"/>
  <c r="N28" i="11" s="1"/>
  <c r="N29" i="11" s="1"/>
  <c r="N30" i="11" s="1"/>
  <c r="N31" i="11" s="1"/>
  <c r="N32" i="11" s="1"/>
  <c r="N33" i="11" s="1"/>
  <c r="N34" i="11" s="1"/>
  <c r="N35" i="11" s="1"/>
  <c r="N36" i="11" s="1"/>
  <c r="N37" i="11" s="1"/>
  <c r="N38" i="11" s="1"/>
  <c r="N39" i="11" s="1"/>
  <c r="N40" i="11" s="1"/>
  <c r="N41" i="11" s="1"/>
  <c r="N42" i="11" s="1"/>
  <c r="N43" i="11" s="1"/>
  <c r="N44" i="11" s="1"/>
  <c r="N45" i="11" s="1"/>
  <c r="N46" i="11" s="1"/>
  <c r="N47" i="11" s="1"/>
  <c r="N48" i="11" s="1"/>
  <c r="N49" i="11" s="1"/>
  <c r="N50" i="11" s="1"/>
  <c r="N51" i="11" s="1"/>
  <c r="N52" i="11" s="1"/>
  <c r="N53" i="11" s="1"/>
  <c r="N54" i="11" s="1"/>
  <c r="N55" i="11" s="1"/>
  <c r="N56" i="11" s="1"/>
  <c r="C2" i="7"/>
  <c r="B2" i="7"/>
  <c r="B4" i="7" s="1"/>
  <c r="G2" i="8"/>
  <c r="G18" i="8"/>
  <c r="HX76" i="8"/>
  <c r="HW76" i="8"/>
  <c r="HV76" i="8"/>
  <c r="HU76" i="8"/>
  <c r="HT76" i="8"/>
  <c r="HS76" i="8"/>
  <c r="HR76" i="8"/>
  <c r="HQ76" i="8"/>
  <c r="HP76" i="8"/>
  <c r="HO76" i="8"/>
  <c r="HN76" i="8"/>
  <c r="HM76" i="8"/>
  <c r="HL76" i="8"/>
  <c r="HK76" i="8"/>
  <c r="HJ76" i="8"/>
  <c r="HI76" i="8"/>
  <c r="HH76" i="8"/>
  <c r="HG76" i="8"/>
  <c r="HF76" i="8"/>
  <c r="HE76" i="8"/>
  <c r="HD76" i="8"/>
  <c r="HC76" i="8"/>
  <c r="HB76" i="8"/>
  <c r="HA76" i="8"/>
  <c r="GZ76" i="8"/>
  <c r="GY76" i="8"/>
  <c r="GX76" i="8"/>
  <c r="GW76" i="8"/>
  <c r="GV76" i="8"/>
  <c r="GU76" i="8"/>
  <c r="GT76" i="8"/>
  <c r="GS76" i="8"/>
  <c r="GR76" i="8"/>
  <c r="GQ76" i="8"/>
  <c r="GP76" i="8"/>
  <c r="GO76" i="8"/>
  <c r="GN76" i="8"/>
  <c r="GM76" i="8"/>
  <c r="GL76" i="8"/>
  <c r="GK76" i="8"/>
  <c r="GJ76" i="8"/>
  <c r="GI76" i="8"/>
  <c r="GH76" i="8"/>
  <c r="GG76" i="8"/>
  <c r="GF76" i="8"/>
  <c r="GE76" i="8"/>
  <c r="GD76" i="8"/>
  <c r="GC76" i="8"/>
  <c r="GB76" i="8"/>
  <c r="GA76" i="8"/>
  <c r="FZ76" i="8"/>
  <c r="FY76" i="8"/>
  <c r="FX76" i="8"/>
  <c r="FW76" i="8"/>
  <c r="FV76" i="8"/>
  <c r="FU76" i="8"/>
  <c r="FT76" i="8"/>
  <c r="FS76" i="8"/>
  <c r="FR76" i="8"/>
  <c r="FQ76" i="8"/>
  <c r="FP76" i="8"/>
  <c r="FO76" i="8"/>
  <c r="FN76" i="8"/>
  <c r="FM76" i="8"/>
  <c r="FL76" i="8"/>
  <c r="FK76" i="8"/>
  <c r="FJ76" i="8"/>
  <c r="FI76" i="8"/>
  <c r="FH76" i="8"/>
  <c r="FG76" i="8"/>
  <c r="FF76" i="8"/>
  <c r="FE76" i="8"/>
  <c r="FD76" i="8"/>
  <c r="FC76" i="8"/>
  <c r="FB76" i="8"/>
  <c r="FA76" i="8"/>
  <c r="EZ76" i="8"/>
  <c r="EY76" i="8"/>
  <c r="EX76" i="8"/>
  <c r="EW76" i="8"/>
  <c r="EV76" i="8"/>
  <c r="EU76" i="8"/>
  <c r="ET76" i="8"/>
  <c r="ES76" i="8"/>
  <c r="ER76" i="8"/>
  <c r="EQ76" i="8"/>
  <c r="EP76" i="8"/>
  <c r="EO76" i="8"/>
  <c r="EN76" i="8"/>
  <c r="EM76" i="8"/>
  <c r="EL76" i="8"/>
  <c r="EK76" i="8"/>
  <c r="EJ76" i="8"/>
  <c r="EI76" i="8"/>
  <c r="EH76" i="8"/>
  <c r="EG76" i="8"/>
  <c r="EF76" i="8"/>
  <c r="EE76" i="8"/>
  <c r="ED76" i="8"/>
  <c r="EC76" i="8"/>
  <c r="EB76" i="8"/>
  <c r="EA76" i="8"/>
  <c r="DZ76" i="8"/>
  <c r="DY76" i="8"/>
  <c r="DX76" i="8"/>
  <c r="DW76" i="8"/>
  <c r="DV76" i="8"/>
  <c r="DU76" i="8"/>
  <c r="DT76" i="8"/>
  <c r="DS76" i="8"/>
  <c r="DR76" i="8"/>
  <c r="DQ76" i="8"/>
  <c r="DP76" i="8"/>
  <c r="DO76" i="8"/>
  <c r="DN76" i="8"/>
  <c r="DM76" i="8"/>
  <c r="DL76" i="8"/>
  <c r="DK76" i="8"/>
  <c r="DJ76" i="8"/>
  <c r="DI76" i="8"/>
  <c r="DH76" i="8"/>
  <c r="DG76" i="8"/>
  <c r="DF76" i="8"/>
  <c r="DE76" i="8"/>
  <c r="DD76" i="8"/>
  <c r="DC76" i="8"/>
  <c r="DB76" i="8"/>
  <c r="DA76" i="8"/>
  <c r="CZ76" i="8"/>
  <c r="CY76" i="8"/>
  <c r="CX76" i="8"/>
  <c r="CW76" i="8"/>
  <c r="CV76" i="8"/>
  <c r="CU76" i="8"/>
  <c r="CT76" i="8"/>
  <c r="CS76" i="8"/>
  <c r="CR76" i="8"/>
  <c r="CQ76" i="8"/>
  <c r="CP76" i="8"/>
  <c r="CO76" i="8"/>
  <c r="CN76" i="8"/>
  <c r="CM76" i="8"/>
  <c r="CL76" i="8"/>
  <c r="CK76" i="8"/>
  <c r="CJ76" i="8"/>
  <c r="CI76" i="8"/>
  <c r="CH76" i="8"/>
  <c r="CG76" i="8"/>
  <c r="CF76" i="8"/>
  <c r="CE76" i="8"/>
  <c r="CD76" i="8"/>
  <c r="CC76" i="8"/>
  <c r="CB76" i="8"/>
  <c r="CA76" i="8"/>
  <c r="BZ76" i="8"/>
  <c r="BY76" i="8"/>
  <c r="BX76" i="8"/>
  <c r="BW76" i="8"/>
  <c r="BV76" i="8"/>
  <c r="BU76" i="8"/>
  <c r="BT76" i="8"/>
  <c r="BS76" i="8"/>
  <c r="BR76" i="8"/>
  <c r="BQ76" i="8"/>
  <c r="BP76" i="8"/>
  <c r="BO76" i="8"/>
  <c r="BN76" i="8"/>
  <c r="BM76" i="8"/>
  <c r="BL76" i="8"/>
  <c r="BK76" i="8"/>
  <c r="BJ76" i="8"/>
  <c r="BI76" i="8"/>
  <c r="BH76" i="8"/>
  <c r="BG76" i="8"/>
  <c r="BF76" i="8"/>
  <c r="BE76" i="8"/>
  <c r="BD76" i="8"/>
  <c r="BC76" i="8"/>
  <c r="BB76" i="8"/>
  <c r="BA76" i="8"/>
  <c r="AZ76" i="8"/>
  <c r="AY76" i="8"/>
  <c r="AX76" i="8"/>
  <c r="AW76" i="8"/>
  <c r="AV76" i="8"/>
  <c r="AU76" i="8"/>
  <c r="AT76" i="8"/>
  <c r="AS76" i="8"/>
  <c r="AR76" i="8"/>
  <c r="AQ76" i="8"/>
  <c r="AP76" i="8"/>
  <c r="AO76" i="8"/>
  <c r="AN76" i="8"/>
  <c r="AM76" i="8"/>
  <c r="AL76" i="8"/>
  <c r="AK76" i="8"/>
  <c r="AJ76" i="8"/>
  <c r="AI76" i="8"/>
  <c r="AH76" i="8"/>
  <c r="AG76" i="8"/>
  <c r="AF76" i="8"/>
  <c r="AE76" i="8"/>
  <c r="AD76" i="8"/>
  <c r="AC76" i="8"/>
  <c r="AB76" i="8"/>
  <c r="AA76" i="8"/>
  <c r="Z76" i="8"/>
  <c r="Y76" i="8"/>
  <c r="X76" i="8"/>
  <c r="W76" i="8"/>
  <c r="V76" i="8"/>
  <c r="U76" i="8"/>
  <c r="T76" i="8"/>
  <c r="S76" i="8"/>
  <c r="R76" i="8"/>
  <c r="Q76" i="8"/>
  <c r="P76" i="8"/>
  <c r="O76" i="8"/>
  <c r="N76" i="8"/>
  <c r="M76" i="8"/>
  <c r="L76" i="8"/>
  <c r="K76" i="8"/>
  <c r="J76" i="8"/>
  <c r="I76" i="8"/>
  <c r="H76" i="8"/>
  <c r="G76" i="8"/>
  <c r="B3" i="13"/>
  <c r="C3" i="13"/>
  <c r="C3" i="14" s="1"/>
  <c r="B4" i="13" l="1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C50" i="12"/>
  <c r="C49" i="12"/>
  <c r="C48" i="12"/>
  <c r="C47" i="12"/>
  <c r="C46" i="12"/>
  <c r="C45" i="12"/>
  <c r="C44" i="12"/>
  <c r="C43" i="12"/>
  <c r="C42" i="12"/>
  <c r="C41" i="12"/>
  <c r="C40" i="12"/>
  <c r="C39" i="12"/>
  <c r="C38" i="12"/>
  <c r="C37" i="12"/>
  <c r="C36" i="12"/>
  <c r="C35" i="12"/>
  <c r="C34" i="12"/>
  <c r="C33" i="12"/>
  <c r="C32" i="12"/>
  <c r="C31" i="12"/>
  <c r="C30" i="12"/>
  <c r="C29" i="12"/>
  <c r="C28" i="12"/>
  <c r="C27" i="12"/>
  <c r="C26" i="12"/>
  <c r="C25" i="12"/>
  <c r="C24" i="12"/>
  <c r="C23" i="12"/>
  <c r="C22" i="12"/>
  <c r="C21" i="12"/>
  <c r="C20" i="12"/>
  <c r="C19" i="12"/>
  <c r="C18" i="12"/>
  <c r="C17" i="12"/>
  <c r="C16" i="12"/>
  <c r="C15" i="12"/>
  <c r="C14" i="12"/>
  <c r="C13" i="12"/>
  <c r="C12" i="12"/>
  <c r="C11" i="12"/>
  <c r="C10" i="12"/>
  <c r="C9" i="12"/>
  <c r="C8" i="12"/>
  <c r="C7" i="12"/>
  <c r="C6" i="12"/>
  <c r="C5" i="12"/>
  <c r="C4" i="12"/>
  <c r="B4" i="12"/>
  <c r="B5" i="12" s="1"/>
  <c r="G5" i="12" s="1"/>
  <c r="G3" i="12"/>
  <c r="C3" i="12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3" i="10"/>
  <c r="J10" i="11"/>
  <c r="J11" i="11" s="1"/>
  <c r="J12" i="11" s="1"/>
  <c r="J13" i="11" s="1"/>
  <c r="J14" i="11" s="1"/>
  <c r="J15" i="11" s="1"/>
  <c r="J16" i="11" s="1"/>
  <c r="J17" i="11" s="1"/>
  <c r="J18" i="11" s="1"/>
  <c r="J19" i="11" s="1"/>
  <c r="J20" i="11" s="1"/>
  <c r="J21" i="11" s="1"/>
  <c r="J22" i="11" s="1"/>
  <c r="J23" i="11" s="1"/>
  <c r="J24" i="11" s="1"/>
  <c r="J25" i="11" s="1"/>
  <c r="J26" i="11" s="1"/>
  <c r="J27" i="11" s="1"/>
  <c r="J28" i="11" s="1"/>
  <c r="J29" i="11" s="1"/>
  <c r="J30" i="11" s="1"/>
  <c r="J31" i="11" s="1"/>
  <c r="J32" i="11" s="1"/>
  <c r="J33" i="11" s="1"/>
  <c r="J34" i="11" s="1"/>
  <c r="J35" i="11" s="1"/>
  <c r="J36" i="11" s="1"/>
  <c r="J37" i="11" s="1"/>
  <c r="J38" i="11" s="1"/>
  <c r="J39" i="11" s="1"/>
  <c r="J40" i="11" s="1"/>
  <c r="J41" i="11" s="1"/>
  <c r="J42" i="11" s="1"/>
  <c r="J43" i="11" s="1"/>
  <c r="J44" i="11" s="1"/>
  <c r="J45" i="11" s="1"/>
  <c r="J46" i="11" s="1"/>
  <c r="J47" i="11" s="1"/>
  <c r="J48" i="11" s="1"/>
  <c r="J49" i="11" s="1"/>
  <c r="J50" i="11" s="1"/>
  <c r="J51" i="11" s="1"/>
  <c r="J52" i="11" s="1"/>
  <c r="J53" i="11" s="1"/>
  <c r="J54" i="11" s="1"/>
  <c r="J55" i="11" s="1"/>
  <c r="J56" i="11" s="1"/>
  <c r="B10" i="11"/>
  <c r="B11" i="11" s="1"/>
  <c r="B12" i="11" s="1"/>
  <c r="B13" i="11" s="1"/>
  <c r="B14" i="11" s="1"/>
  <c r="B15" i="11" s="1"/>
  <c r="B16" i="11" s="1"/>
  <c r="B17" i="11" s="1"/>
  <c r="B18" i="11" s="1"/>
  <c r="B19" i="11" s="1"/>
  <c r="B20" i="11" s="1"/>
  <c r="B21" i="11" s="1"/>
  <c r="B22" i="11" s="1"/>
  <c r="B23" i="11" s="1"/>
  <c r="B24" i="11" s="1"/>
  <c r="B25" i="11" s="1"/>
  <c r="B26" i="11" s="1"/>
  <c r="B27" i="11" s="1"/>
  <c r="B28" i="11" s="1"/>
  <c r="B29" i="11" s="1"/>
  <c r="B30" i="11" s="1"/>
  <c r="B31" i="11" s="1"/>
  <c r="B32" i="11" s="1"/>
  <c r="B33" i="11" s="1"/>
  <c r="B34" i="11" s="1"/>
  <c r="B35" i="11" s="1"/>
  <c r="B36" i="11" s="1"/>
  <c r="B37" i="11" s="1"/>
  <c r="B38" i="11" s="1"/>
  <c r="B39" i="11" s="1"/>
  <c r="B40" i="11" s="1"/>
  <c r="B41" i="11" s="1"/>
  <c r="B42" i="11" s="1"/>
  <c r="B43" i="11" s="1"/>
  <c r="B44" i="11" s="1"/>
  <c r="B45" i="11" s="1"/>
  <c r="B46" i="11" s="1"/>
  <c r="B47" i="11" s="1"/>
  <c r="B48" i="11" s="1"/>
  <c r="B49" i="11" s="1"/>
  <c r="B50" i="11" s="1"/>
  <c r="B51" i="11" s="1"/>
  <c r="B52" i="11" s="1"/>
  <c r="B53" i="11" s="1"/>
  <c r="B54" i="11" s="1"/>
  <c r="B55" i="11" s="1"/>
  <c r="B56" i="11" s="1"/>
  <c r="B57" i="11" s="1"/>
  <c r="B58" i="11" s="1"/>
  <c r="B59" i="11" s="1"/>
  <c r="B60" i="11" s="1"/>
  <c r="B61" i="11" s="1"/>
  <c r="B62" i="11" s="1"/>
  <c r="B63" i="11" s="1"/>
  <c r="B64" i="11" s="1"/>
  <c r="B65" i="11" s="1"/>
  <c r="B66" i="11" s="1"/>
  <c r="B67" i="11" s="1"/>
  <c r="B68" i="11" s="1"/>
  <c r="B69" i="11" s="1"/>
  <c r="B70" i="11" s="1"/>
  <c r="B71" i="11" s="1"/>
  <c r="B72" i="11" s="1"/>
  <c r="B73" i="11" s="1"/>
  <c r="B74" i="11" s="1"/>
  <c r="B75" i="11" s="1"/>
  <c r="B76" i="11" s="1"/>
  <c r="B77" i="11" s="1"/>
  <c r="B78" i="11" s="1"/>
  <c r="B79" i="11" s="1"/>
  <c r="B80" i="11" s="1"/>
  <c r="B81" i="11" s="1"/>
  <c r="B82" i="11" s="1"/>
  <c r="B83" i="11" s="1"/>
  <c r="B84" i="11" s="1"/>
  <c r="B85" i="11" s="1"/>
  <c r="B86" i="11" s="1"/>
  <c r="B87" i="11" s="1"/>
  <c r="B88" i="11" s="1"/>
  <c r="B89" i="11" s="1"/>
  <c r="B90" i="11" s="1"/>
  <c r="B91" i="11" s="1"/>
  <c r="B92" i="11" s="1"/>
  <c r="B93" i="11" s="1"/>
  <c r="B94" i="11" s="1"/>
  <c r="B95" i="11" s="1"/>
  <c r="B96" i="11" s="1"/>
  <c r="B97" i="11" s="1"/>
  <c r="B98" i="11" s="1"/>
  <c r="B99" i="11" s="1"/>
  <c r="B100" i="11" s="1"/>
  <c r="B101" i="11" s="1"/>
  <c r="B102" i="11" s="1"/>
  <c r="B103" i="11" s="1"/>
  <c r="B104" i="11" s="1"/>
  <c r="B105" i="11" s="1"/>
  <c r="B106" i="11" s="1"/>
  <c r="B107" i="11" s="1"/>
  <c r="B108" i="11" s="1"/>
  <c r="B109" i="11" s="1"/>
  <c r="B110" i="11" s="1"/>
  <c r="B111" i="11" s="1"/>
  <c r="B112" i="11" s="1"/>
  <c r="B113" i="11" s="1"/>
  <c r="B114" i="11" s="1"/>
  <c r="B115" i="11" s="1"/>
  <c r="B116" i="11" s="1"/>
  <c r="B117" i="11" s="1"/>
  <c r="B118" i="11" s="1"/>
  <c r="B119" i="11" s="1"/>
  <c r="B120" i="11" s="1"/>
  <c r="B121" i="11" s="1"/>
  <c r="B122" i="11" s="1"/>
  <c r="B123" i="11" s="1"/>
  <c r="B124" i="11" s="1"/>
  <c r="B125" i="11" s="1"/>
  <c r="B126" i="11" s="1"/>
  <c r="B127" i="11" s="1"/>
  <c r="B128" i="11" s="1"/>
  <c r="B129" i="11" s="1"/>
  <c r="B130" i="11" s="1"/>
  <c r="B131" i="11" s="1"/>
  <c r="B132" i="11" s="1"/>
  <c r="B133" i="11" s="1"/>
  <c r="B134" i="11" s="1"/>
  <c r="B135" i="11" s="1"/>
  <c r="B136" i="11" s="1"/>
  <c r="B137" i="11" s="1"/>
  <c r="B138" i="11" s="1"/>
  <c r="B139" i="11" s="1"/>
  <c r="B140" i="11" s="1"/>
  <c r="B141" i="11" s="1"/>
  <c r="B142" i="11" s="1"/>
  <c r="B143" i="11" s="1"/>
  <c r="B144" i="11" s="1"/>
  <c r="B145" i="11" s="1"/>
  <c r="B146" i="11" s="1"/>
  <c r="B147" i="11" s="1"/>
  <c r="B148" i="11" s="1"/>
  <c r="B149" i="11" s="1"/>
  <c r="B150" i="11" s="1"/>
  <c r="B151" i="11" s="1"/>
  <c r="B152" i="11" s="1"/>
  <c r="B153" i="11" s="1"/>
  <c r="B154" i="11" s="1"/>
  <c r="B155" i="11" s="1"/>
  <c r="B156" i="11" s="1"/>
  <c r="B157" i="11" s="1"/>
  <c r="B158" i="11" s="1"/>
  <c r="B159" i="11" s="1"/>
  <c r="B160" i="11" s="1"/>
  <c r="B161" i="11" s="1"/>
  <c r="B162" i="11" s="1"/>
  <c r="B163" i="11" s="1"/>
  <c r="B164" i="11" s="1"/>
  <c r="B165" i="11" s="1"/>
  <c r="B166" i="11" s="1"/>
  <c r="B167" i="11" s="1"/>
  <c r="B168" i="11" s="1"/>
  <c r="B169" i="11" s="1"/>
  <c r="B170" i="11" s="1"/>
  <c r="B171" i="11" s="1"/>
  <c r="B172" i="11" s="1"/>
  <c r="B173" i="11" s="1"/>
  <c r="B174" i="11" s="1"/>
  <c r="B175" i="11" s="1"/>
  <c r="B176" i="11" s="1"/>
  <c r="B177" i="11" s="1"/>
  <c r="B178" i="11" s="1"/>
  <c r="B179" i="11" s="1"/>
  <c r="B180" i="11" s="1"/>
  <c r="B181" i="11" s="1"/>
  <c r="B182" i="11" s="1"/>
  <c r="B183" i="11" s="1"/>
  <c r="B184" i="11" s="1"/>
  <c r="B185" i="11" s="1"/>
  <c r="B186" i="11" s="1"/>
  <c r="B187" i="11" s="1"/>
  <c r="B188" i="11" s="1"/>
  <c r="B189" i="11" s="1"/>
  <c r="B190" i="11" s="1"/>
  <c r="B191" i="11" s="1"/>
  <c r="B192" i="11" s="1"/>
  <c r="B193" i="11" s="1"/>
  <c r="B194" i="11" s="1"/>
  <c r="B195" i="11" s="1"/>
  <c r="B196" i="11" s="1"/>
  <c r="B197" i="11" s="1"/>
  <c r="B198" i="11" s="1"/>
  <c r="B199" i="11" s="1"/>
  <c r="B200" i="11" s="1"/>
  <c r="B201" i="11" s="1"/>
  <c r="B202" i="11" s="1"/>
  <c r="B203" i="11" s="1"/>
  <c r="B204" i="11" s="1"/>
  <c r="B205" i="11" s="1"/>
  <c r="B206" i="11" s="1"/>
  <c r="B207" i="11" s="1"/>
  <c r="B208" i="11" s="1"/>
  <c r="B209" i="11" s="1"/>
  <c r="B210" i="11" s="1"/>
  <c r="B211" i="11" s="1"/>
  <c r="B212" i="11" s="1"/>
  <c r="B213" i="11" s="1"/>
  <c r="B214" i="11" s="1"/>
  <c r="B215" i="11" s="1"/>
  <c r="B216" i="11" s="1"/>
  <c r="B217" i="11" s="1"/>
  <c r="B218" i="11" s="1"/>
  <c r="B219" i="11" s="1"/>
  <c r="B220" i="11" s="1"/>
  <c r="B221" i="11" s="1"/>
  <c r="B222" i="11" s="1"/>
  <c r="B223" i="11" s="1"/>
  <c r="B224" i="11" s="1"/>
  <c r="B225" i="11" s="1"/>
  <c r="B226" i="11" s="1"/>
  <c r="B227" i="11" s="1"/>
  <c r="B228" i="11" s="1"/>
  <c r="B229" i="11" s="1"/>
  <c r="B230" i="11" s="1"/>
  <c r="B231" i="11" s="1"/>
  <c r="B232" i="11" s="1"/>
  <c r="B233" i="11" s="1"/>
  <c r="B234" i="11" s="1"/>
  <c r="B235" i="11" s="1"/>
  <c r="B236" i="11" s="1"/>
  <c r="B237" i="11" s="1"/>
  <c r="B238" i="11" s="1"/>
  <c r="B239" i="11" s="1"/>
  <c r="B240" i="11" s="1"/>
  <c r="B241" i="11" s="1"/>
  <c r="B242" i="11" s="1"/>
  <c r="B243" i="11" s="1"/>
  <c r="B244" i="11" s="1"/>
  <c r="B245" i="11" s="1"/>
  <c r="G3" i="10"/>
  <c r="B4" i="10"/>
  <c r="G4" i="10" s="1"/>
  <c r="L3" i="11"/>
  <c r="L4" i="1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C9" i="11"/>
  <c r="C10" i="11" s="1"/>
  <c r="C11" i="11" s="1"/>
  <c r="C12" i="11" s="1"/>
  <c r="C13" i="11" s="1"/>
  <c r="C14" i="11" s="1"/>
  <c r="C15" i="11" s="1"/>
  <c r="C16" i="11" s="1"/>
  <c r="C17" i="11" s="1"/>
  <c r="C18" i="11" s="1"/>
  <c r="C19" i="11" s="1"/>
  <c r="C20" i="11" s="1"/>
  <c r="C21" i="11" s="1"/>
  <c r="C22" i="11" s="1"/>
  <c r="C23" i="11" s="1"/>
  <c r="C24" i="11" s="1"/>
  <c r="C25" i="11" s="1"/>
  <c r="C26" i="11" s="1"/>
  <c r="C27" i="11" s="1"/>
  <c r="C28" i="11" s="1"/>
  <c r="C29" i="11" s="1"/>
  <c r="C30" i="11" s="1"/>
  <c r="C31" i="11" s="1"/>
  <c r="C32" i="11" s="1"/>
  <c r="C33" i="11" s="1"/>
  <c r="C34" i="11" s="1"/>
  <c r="C35" i="11" s="1"/>
  <c r="C36" i="11" s="1"/>
  <c r="C37" i="11" s="1"/>
  <c r="C38" i="11" s="1"/>
  <c r="C39" i="11" s="1"/>
  <c r="C40" i="11" s="1"/>
  <c r="C41" i="11" s="1"/>
  <c r="C42" i="11" s="1"/>
  <c r="C43" i="11" s="1"/>
  <c r="C44" i="11" s="1"/>
  <c r="C45" i="11" s="1"/>
  <c r="C46" i="11" s="1"/>
  <c r="C47" i="11" s="1"/>
  <c r="C48" i="11" s="1"/>
  <c r="C49" i="11" s="1"/>
  <c r="C50" i="11" s="1"/>
  <c r="C51" i="11" s="1"/>
  <c r="C52" i="11" s="1"/>
  <c r="C53" i="11" s="1"/>
  <c r="C54" i="11" s="1"/>
  <c r="C55" i="11" s="1"/>
  <c r="C56" i="11" s="1"/>
  <c r="C57" i="11" s="1"/>
  <c r="C58" i="11" s="1"/>
  <c r="C59" i="11" s="1"/>
  <c r="C60" i="11" s="1"/>
  <c r="C61" i="11" s="1"/>
  <c r="C62" i="11" s="1"/>
  <c r="C63" i="11" s="1"/>
  <c r="C64" i="11" s="1"/>
  <c r="C65" i="11" s="1"/>
  <c r="C66" i="11" s="1"/>
  <c r="C67" i="11" s="1"/>
  <c r="C68" i="11" s="1"/>
  <c r="C69" i="11" s="1"/>
  <c r="C70" i="11" s="1"/>
  <c r="C71" i="11" s="1"/>
  <c r="C72" i="11" s="1"/>
  <c r="C73" i="11" s="1"/>
  <c r="C74" i="11" s="1"/>
  <c r="C75" i="11" s="1"/>
  <c r="C76" i="11" s="1"/>
  <c r="C77" i="11" s="1"/>
  <c r="C78" i="11" s="1"/>
  <c r="C79" i="11" s="1"/>
  <c r="C80" i="11" s="1"/>
  <c r="C81" i="11" s="1"/>
  <c r="C82" i="11" s="1"/>
  <c r="C83" i="11" s="1"/>
  <c r="C84" i="11" s="1"/>
  <c r="C85" i="11" s="1"/>
  <c r="C86" i="11" s="1"/>
  <c r="C87" i="11" s="1"/>
  <c r="C88" i="11" s="1"/>
  <c r="C89" i="11" s="1"/>
  <c r="C90" i="11" s="1"/>
  <c r="C91" i="11" s="1"/>
  <c r="C92" i="11" s="1"/>
  <c r="C93" i="11" s="1"/>
  <c r="C94" i="11" s="1"/>
  <c r="C95" i="11" s="1"/>
  <c r="C96" i="11" s="1"/>
  <c r="C97" i="11" s="1"/>
  <c r="C98" i="11" s="1"/>
  <c r="C99" i="11" s="1"/>
  <c r="C100" i="11" s="1"/>
  <c r="C101" i="11" s="1"/>
  <c r="C102" i="11" s="1"/>
  <c r="C103" i="11" s="1"/>
  <c r="C104" i="11" s="1"/>
  <c r="C105" i="11" s="1"/>
  <c r="C106" i="11" s="1"/>
  <c r="C107" i="11" s="1"/>
  <c r="C108" i="11" s="1"/>
  <c r="C109" i="11" s="1"/>
  <c r="C110" i="11" s="1"/>
  <c r="C111" i="11" s="1"/>
  <c r="C112" i="11" s="1"/>
  <c r="C113" i="11" s="1"/>
  <c r="C114" i="11" s="1"/>
  <c r="C115" i="11" s="1"/>
  <c r="C116" i="11" s="1"/>
  <c r="C117" i="11" s="1"/>
  <c r="C118" i="11" s="1"/>
  <c r="C119" i="11" s="1"/>
  <c r="C120" i="11" s="1"/>
  <c r="C121" i="11" s="1"/>
  <c r="C122" i="11" s="1"/>
  <c r="C123" i="11" s="1"/>
  <c r="C124" i="11" s="1"/>
  <c r="C125" i="11" s="1"/>
  <c r="C126" i="11" s="1"/>
  <c r="C127" i="11" s="1"/>
  <c r="C128" i="11" s="1"/>
  <c r="C129" i="11" s="1"/>
  <c r="C130" i="11" s="1"/>
  <c r="C131" i="11" s="1"/>
  <c r="C132" i="11" s="1"/>
  <c r="C133" i="11" s="1"/>
  <c r="C134" i="11" s="1"/>
  <c r="C135" i="11" s="1"/>
  <c r="C136" i="11" s="1"/>
  <c r="C137" i="11" s="1"/>
  <c r="C138" i="11" s="1"/>
  <c r="C139" i="11" s="1"/>
  <c r="C140" i="11" s="1"/>
  <c r="C141" i="11" s="1"/>
  <c r="C142" i="11" s="1"/>
  <c r="C143" i="11" s="1"/>
  <c r="C144" i="11" s="1"/>
  <c r="C145" i="11" s="1"/>
  <c r="C146" i="11" s="1"/>
  <c r="C147" i="11" s="1"/>
  <c r="C148" i="11" s="1"/>
  <c r="C149" i="11" s="1"/>
  <c r="C150" i="11" s="1"/>
  <c r="C151" i="11" s="1"/>
  <c r="C152" i="11" s="1"/>
  <c r="C153" i="11" s="1"/>
  <c r="C154" i="11" s="1"/>
  <c r="C155" i="11" s="1"/>
  <c r="C156" i="11" s="1"/>
  <c r="C157" i="11" s="1"/>
  <c r="C158" i="11" s="1"/>
  <c r="C159" i="11" s="1"/>
  <c r="C160" i="11" s="1"/>
  <c r="C161" i="11" s="1"/>
  <c r="C162" i="11" s="1"/>
  <c r="C163" i="11" s="1"/>
  <c r="C164" i="11" s="1"/>
  <c r="C165" i="11" s="1"/>
  <c r="C166" i="11" s="1"/>
  <c r="C167" i="11" s="1"/>
  <c r="C168" i="11" s="1"/>
  <c r="C169" i="11" s="1"/>
  <c r="C170" i="11" s="1"/>
  <c r="C171" i="11" s="1"/>
  <c r="C172" i="11" s="1"/>
  <c r="C173" i="11" s="1"/>
  <c r="C174" i="11" s="1"/>
  <c r="C175" i="11" s="1"/>
  <c r="C176" i="11" s="1"/>
  <c r="C177" i="11" s="1"/>
  <c r="C178" i="11" s="1"/>
  <c r="C179" i="11" s="1"/>
  <c r="C180" i="11" s="1"/>
  <c r="C181" i="11" s="1"/>
  <c r="C182" i="11" s="1"/>
  <c r="C183" i="11" s="1"/>
  <c r="C184" i="11" s="1"/>
  <c r="C185" i="11" s="1"/>
  <c r="C186" i="11" s="1"/>
  <c r="C187" i="11" s="1"/>
  <c r="C188" i="11" s="1"/>
  <c r="C189" i="11" s="1"/>
  <c r="C190" i="11" s="1"/>
  <c r="C191" i="11" s="1"/>
  <c r="C192" i="11" s="1"/>
  <c r="C193" i="11" s="1"/>
  <c r="C194" i="11" s="1"/>
  <c r="C195" i="11" s="1"/>
  <c r="C196" i="11" s="1"/>
  <c r="C197" i="11" s="1"/>
  <c r="C198" i="11" s="1"/>
  <c r="C199" i="11" s="1"/>
  <c r="C200" i="11" s="1"/>
  <c r="C201" i="11" s="1"/>
  <c r="C202" i="11" s="1"/>
  <c r="C203" i="11" s="1"/>
  <c r="C204" i="11" s="1"/>
  <c r="C205" i="11" s="1"/>
  <c r="C206" i="11" s="1"/>
  <c r="C207" i="11" s="1"/>
  <c r="C208" i="11" s="1"/>
  <c r="C209" i="11" s="1"/>
  <c r="C210" i="11" s="1"/>
  <c r="C211" i="11" s="1"/>
  <c r="C212" i="11" s="1"/>
  <c r="C213" i="11" s="1"/>
  <c r="C214" i="11" s="1"/>
  <c r="C215" i="11" s="1"/>
  <c r="C216" i="11" s="1"/>
  <c r="C217" i="11" s="1"/>
  <c r="C218" i="11" s="1"/>
  <c r="C219" i="11" s="1"/>
  <c r="C220" i="11" s="1"/>
  <c r="C221" i="11" s="1"/>
  <c r="C222" i="11" s="1"/>
  <c r="C223" i="11" s="1"/>
  <c r="C224" i="11" s="1"/>
  <c r="C225" i="11" s="1"/>
  <c r="C226" i="11" s="1"/>
  <c r="C227" i="11" s="1"/>
  <c r="C228" i="11" s="1"/>
  <c r="C229" i="11" s="1"/>
  <c r="C230" i="11" s="1"/>
  <c r="C231" i="11" s="1"/>
  <c r="C232" i="11" s="1"/>
  <c r="C233" i="11" s="1"/>
  <c r="C234" i="11" s="1"/>
  <c r="C235" i="11" s="1"/>
  <c r="C236" i="11" s="1"/>
  <c r="C237" i="11" s="1"/>
  <c r="C238" i="11" s="1"/>
  <c r="C239" i="11" s="1"/>
  <c r="C240" i="11" s="1"/>
  <c r="C241" i="11" s="1"/>
  <c r="C242" i="11" s="1"/>
  <c r="C243" i="11" s="1"/>
  <c r="C244" i="11" s="1"/>
  <c r="C245" i="11" s="1"/>
  <c r="G4" i="12" l="1"/>
  <c r="I10" i="11"/>
  <c r="I11" i="11" s="1"/>
  <c r="I12" i="11" s="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I48" i="11" s="1"/>
  <c r="I49" i="11" s="1"/>
  <c r="I50" i="11" s="1"/>
  <c r="I51" i="11" s="1"/>
  <c r="I52" i="11" s="1"/>
  <c r="I53" i="11" s="1"/>
  <c r="I54" i="11" s="1"/>
  <c r="I55" i="11" s="1"/>
  <c r="I56" i="11" s="1"/>
  <c r="M9" i="1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M21" i="11" s="1"/>
  <c r="M22" i="11" s="1"/>
  <c r="M23" i="11" s="1"/>
  <c r="M24" i="11" s="1"/>
  <c r="M25" i="11" s="1"/>
  <c r="M26" i="11" s="1"/>
  <c r="M27" i="11" s="1"/>
  <c r="M28" i="11" s="1"/>
  <c r="M29" i="11" s="1"/>
  <c r="M30" i="11" s="1"/>
  <c r="M31" i="11" s="1"/>
  <c r="M32" i="11" s="1"/>
  <c r="M33" i="11" s="1"/>
  <c r="M34" i="11" s="1"/>
  <c r="M35" i="11" s="1"/>
  <c r="M36" i="11" s="1"/>
  <c r="M37" i="11" s="1"/>
  <c r="M38" i="11" s="1"/>
  <c r="M39" i="11" s="1"/>
  <c r="M40" i="11" s="1"/>
  <c r="M41" i="11" s="1"/>
  <c r="M42" i="11" s="1"/>
  <c r="M43" i="11" s="1"/>
  <c r="M44" i="11" s="1"/>
  <c r="M45" i="11" s="1"/>
  <c r="M46" i="11" s="1"/>
  <c r="M47" i="11" s="1"/>
  <c r="M48" i="11" s="1"/>
  <c r="M49" i="11" s="1"/>
  <c r="M50" i="11" s="1"/>
  <c r="M51" i="11" s="1"/>
  <c r="M52" i="11" s="1"/>
  <c r="M53" i="11" s="1"/>
  <c r="M54" i="11" s="1"/>
  <c r="M55" i="11" s="1"/>
  <c r="M56" i="11" s="1"/>
  <c r="F3" i="10"/>
  <c r="F1" i="10" s="1"/>
  <c r="D6" i="13"/>
  <c r="B6" i="14"/>
  <c r="D6" i="14" s="1"/>
  <c r="C6" i="13"/>
  <c r="C6" i="14" s="1"/>
  <c r="B8" i="13"/>
  <c r="B7" i="14"/>
  <c r="D7" i="14" s="1"/>
  <c r="B6" i="12"/>
  <c r="A4" i="12"/>
  <c r="F3" i="12"/>
  <c r="F1" i="12" s="1"/>
  <c r="B5" i="10"/>
  <c r="A4" i="10"/>
  <c r="F4" i="10" s="1"/>
  <c r="C7" i="13" l="1"/>
  <c r="C7" i="14"/>
  <c r="B9" i="13"/>
  <c r="B8" i="14"/>
  <c r="D8" i="14" s="1"/>
  <c r="D8" i="13"/>
  <c r="B5" i="7"/>
  <c r="A5" i="12"/>
  <c r="F4" i="12"/>
  <c r="B7" i="12"/>
  <c r="G6" i="12"/>
  <c r="B6" i="10"/>
  <c r="G5" i="10"/>
  <c r="A5" i="10"/>
  <c r="F5" i="10" s="1"/>
  <c r="H2" i="8"/>
  <c r="H3" i="8"/>
  <c r="H4" i="8"/>
  <c r="H5" i="8"/>
  <c r="H6" i="8"/>
  <c r="H7" i="8"/>
  <c r="H8" i="8"/>
  <c r="H9" i="8"/>
  <c r="H10" i="8"/>
  <c r="H11" i="8"/>
  <c r="H12" i="8"/>
  <c r="H13" i="8"/>
  <c r="C8" i="13" l="1"/>
  <c r="C8" i="14" s="1"/>
  <c r="B6" i="7"/>
  <c r="B10" i="13"/>
  <c r="B9" i="14"/>
  <c r="D9" i="14" s="1"/>
  <c r="D9" i="13"/>
  <c r="B8" i="12"/>
  <c r="G7" i="12"/>
  <c r="A6" i="12"/>
  <c r="F5" i="12"/>
  <c r="B7" i="10"/>
  <c r="G6" i="10"/>
  <c r="A6" i="10"/>
  <c r="F6" i="10" s="1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I2" i="8"/>
  <c r="J2" i="8"/>
  <c r="K2" i="8"/>
  <c r="L2" i="8"/>
  <c r="M2" i="8"/>
  <c r="N2" i="8"/>
  <c r="O2" i="8"/>
  <c r="P2" i="8"/>
  <c r="Q2" i="8"/>
  <c r="R2" i="8"/>
  <c r="S2" i="8"/>
  <c r="T2" i="8"/>
  <c r="U2" i="8"/>
  <c r="V2" i="8"/>
  <c r="W2" i="8"/>
  <c r="X2" i="8"/>
  <c r="Y2" i="8"/>
  <c r="Z2" i="8"/>
  <c r="AA2" i="8"/>
  <c r="AB2" i="8"/>
  <c r="AC2" i="8"/>
  <c r="AD2" i="8"/>
  <c r="AE2" i="8"/>
  <c r="AF2" i="8"/>
  <c r="AG2" i="8"/>
  <c r="AH2" i="8"/>
  <c r="AI2" i="8"/>
  <c r="AJ2" i="8"/>
  <c r="AK2" i="8"/>
  <c r="AL2" i="8"/>
  <c r="AM2" i="8"/>
  <c r="AN2" i="8"/>
  <c r="AO2" i="8"/>
  <c r="AP2" i="8"/>
  <c r="AQ2" i="8"/>
  <c r="AR2" i="8"/>
  <c r="AS2" i="8"/>
  <c r="AT2" i="8"/>
  <c r="AU2" i="8"/>
  <c r="AV2" i="8"/>
  <c r="AW2" i="8"/>
  <c r="AX2" i="8"/>
  <c r="AY2" i="8"/>
  <c r="AZ2" i="8"/>
  <c r="BA2" i="8"/>
  <c r="BB2" i="8"/>
  <c r="BC2" i="8"/>
  <c r="BD2" i="8"/>
  <c r="BE2" i="8"/>
  <c r="BF2" i="8"/>
  <c r="BG2" i="8"/>
  <c r="BH2" i="8"/>
  <c r="BI2" i="8"/>
  <c r="BJ2" i="8"/>
  <c r="BK2" i="8"/>
  <c r="BL2" i="8"/>
  <c r="BM2" i="8"/>
  <c r="BN2" i="8"/>
  <c r="BO2" i="8"/>
  <c r="BP2" i="8"/>
  <c r="BQ2" i="8"/>
  <c r="BR2" i="8"/>
  <c r="BS2" i="8"/>
  <c r="BT2" i="8"/>
  <c r="BU2" i="8"/>
  <c r="BV2" i="8"/>
  <c r="BW2" i="8"/>
  <c r="BX2" i="8"/>
  <c r="BY2" i="8"/>
  <c r="BZ2" i="8"/>
  <c r="CA2" i="8"/>
  <c r="CB2" i="8"/>
  <c r="CC2" i="8"/>
  <c r="CD2" i="8"/>
  <c r="CE2" i="8"/>
  <c r="CF2" i="8"/>
  <c r="CG2" i="8"/>
  <c r="CH2" i="8"/>
  <c r="CI2" i="8"/>
  <c r="CJ2" i="8"/>
  <c r="CK2" i="8"/>
  <c r="CL2" i="8"/>
  <c r="CM2" i="8"/>
  <c r="CN2" i="8"/>
  <c r="CO2" i="8"/>
  <c r="CP2" i="8"/>
  <c r="CQ2" i="8"/>
  <c r="CR2" i="8"/>
  <c r="CS2" i="8"/>
  <c r="CT2" i="8"/>
  <c r="CU2" i="8"/>
  <c r="CV2" i="8"/>
  <c r="CW2" i="8"/>
  <c r="CX2" i="8"/>
  <c r="CY2" i="8"/>
  <c r="CZ2" i="8"/>
  <c r="DA2" i="8"/>
  <c r="DB2" i="8"/>
  <c r="DC2" i="8"/>
  <c r="DD2" i="8"/>
  <c r="DE2" i="8"/>
  <c r="DF2" i="8"/>
  <c r="DG2" i="8"/>
  <c r="DH2" i="8"/>
  <c r="DI2" i="8"/>
  <c r="DJ2" i="8"/>
  <c r="DK2" i="8"/>
  <c r="DL2" i="8"/>
  <c r="DM2" i="8"/>
  <c r="DN2" i="8"/>
  <c r="DO2" i="8"/>
  <c r="DP2" i="8"/>
  <c r="DQ2" i="8"/>
  <c r="DR2" i="8"/>
  <c r="DS2" i="8"/>
  <c r="DT2" i="8"/>
  <c r="DU2" i="8"/>
  <c r="DV2" i="8"/>
  <c r="DW2" i="8"/>
  <c r="DX2" i="8"/>
  <c r="DY2" i="8"/>
  <c r="DZ2" i="8"/>
  <c r="EA2" i="8"/>
  <c r="EB2" i="8"/>
  <c r="EC2" i="8"/>
  <c r="ED2" i="8"/>
  <c r="EE2" i="8"/>
  <c r="EF2" i="8"/>
  <c r="EG2" i="8"/>
  <c r="EH2" i="8"/>
  <c r="EI2" i="8"/>
  <c r="EJ2" i="8"/>
  <c r="EK2" i="8"/>
  <c r="EL2" i="8"/>
  <c r="EM2" i="8"/>
  <c r="EN2" i="8"/>
  <c r="EO2" i="8"/>
  <c r="EP2" i="8"/>
  <c r="EQ2" i="8"/>
  <c r="ER2" i="8"/>
  <c r="ES2" i="8"/>
  <c r="ET2" i="8"/>
  <c r="EU2" i="8"/>
  <c r="EV2" i="8"/>
  <c r="EW2" i="8"/>
  <c r="EX2" i="8"/>
  <c r="EY2" i="8"/>
  <c r="EZ2" i="8"/>
  <c r="FA2" i="8"/>
  <c r="FB2" i="8"/>
  <c r="FC2" i="8"/>
  <c r="FD2" i="8"/>
  <c r="FE2" i="8"/>
  <c r="FF2" i="8"/>
  <c r="FG2" i="8"/>
  <c r="FH2" i="8"/>
  <c r="FI2" i="8"/>
  <c r="FJ2" i="8"/>
  <c r="FK2" i="8"/>
  <c r="FL2" i="8"/>
  <c r="FM2" i="8"/>
  <c r="FN2" i="8"/>
  <c r="FO2" i="8"/>
  <c r="FP2" i="8"/>
  <c r="FQ2" i="8"/>
  <c r="FR2" i="8"/>
  <c r="FS2" i="8"/>
  <c r="FT2" i="8"/>
  <c r="FU2" i="8"/>
  <c r="FV2" i="8"/>
  <c r="FW2" i="8"/>
  <c r="FX2" i="8"/>
  <c r="FY2" i="8"/>
  <c r="FZ2" i="8"/>
  <c r="GA2" i="8"/>
  <c r="GB2" i="8"/>
  <c r="GC2" i="8"/>
  <c r="GD2" i="8"/>
  <c r="GE2" i="8"/>
  <c r="GF2" i="8"/>
  <c r="GG2" i="8"/>
  <c r="GH2" i="8"/>
  <c r="GI2" i="8"/>
  <c r="GJ2" i="8"/>
  <c r="GK2" i="8"/>
  <c r="GL2" i="8"/>
  <c r="GM2" i="8"/>
  <c r="GN2" i="8"/>
  <c r="GO2" i="8"/>
  <c r="GP2" i="8"/>
  <c r="GQ2" i="8"/>
  <c r="GR2" i="8"/>
  <c r="GS2" i="8"/>
  <c r="GT2" i="8"/>
  <c r="GU2" i="8"/>
  <c r="GV2" i="8"/>
  <c r="GW2" i="8"/>
  <c r="GX2" i="8"/>
  <c r="GY2" i="8"/>
  <c r="GZ2" i="8"/>
  <c r="HA2" i="8"/>
  <c r="HB2" i="8"/>
  <c r="HC2" i="8"/>
  <c r="HD2" i="8"/>
  <c r="HE2" i="8"/>
  <c r="HF2" i="8"/>
  <c r="HG2" i="8"/>
  <c r="HH2" i="8"/>
  <c r="HI2" i="8"/>
  <c r="HJ2" i="8"/>
  <c r="HK2" i="8"/>
  <c r="HL2" i="8"/>
  <c r="HM2" i="8"/>
  <c r="HN2" i="8"/>
  <c r="HO2" i="8"/>
  <c r="HP2" i="8"/>
  <c r="HQ2" i="8"/>
  <c r="HR2" i="8"/>
  <c r="HS2" i="8"/>
  <c r="HT2" i="8"/>
  <c r="HU2" i="8"/>
  <c r="HV2" i="8"/>
  <c r="HW2" i="8"/>
  <c r="HX2" i="8"/>
  <c r="I3" i="8"/>
  <c r="J3" i="8"/>
  <c r="K3" i="8"/>
  <c r="L3" i="8"/>
  <c r="M3" i="8"/>
  <c r="N3" i="8"/>
  <c r="O3" i="8"/>
  <c r="P3" i="8"/>
  <c r="Q3" i="8"/>
  <c r="R3" i="8"/>
  <c r="S3" i="8"/>
  <c r="T3" i="8"/>
  <c r="U3" i="8"/>
  <c r="V3" i="8"/>
  <c r="W3" i="8"/>
  <c r="X3" i="8"/>
  <c r="Y3" i="8"/>
  <c r="Z3" i="8"/>
  <c r="AA3" i="8"/>
  <c r="AB3" i="8"/>
  <c r="AC3" i="8"/>
  <c r="AD3" i="8"/>
  <c r="AE3" i="8"/>
  <c r="AF3" i="8"/>
  <c r="AG3" i="8"/>
  <c r="AH3" i="8"/>
  <c r="AI3" i="8"/>
  <c r="AJ3" i="8"/>
  <c r="AK3" i="8"/>
  <c r="AL3" i="8"/>
  <c r="AM3" i="8"/>
  <c r="AN3" i="8"/>
  <c r="AO3" i="8"/>
  <c r="AP3" i="8"/>
  <c r="AQ3" i="8"/>
  <c r="AR3" i="8"/>
  <c r="AS3" i="8"/>
  <c r="AT3" i="8"/>
  <c r="AU3" i="8"/>
  <c r="AV3" i="8"/>
  <c r="AW3" i="8"/>
  <c r="AX3" i="8"/>
  <c r="AY3" i="8"/>
  <c r="AZ3" i="8"/>
  <c r="BA3" i="8"/>
  <c r="BB3" i="8"/>
  <c r="BC3" i="8"/>
  <c r="BD3" i="8"/>
  <c r="BE3" i="8"/>
  <c r="BF3" i="8"/>
  <c r="BG3" i="8"/>
  <c r="BH3" i="8"/>
  <c r="BI3" i="8"/>
  <c r="BJ3" i="8"/>
  <c r="BK3" i="8"/>
  <c r="BL3" i="8"/>
  <c r="BM3" i="8"/>
  <c r="BN3" i="8"/>
  <c r="BO3" i="8"/>
  <c r="BP3" i="8"/>
  <c r="BQ3" i="8"/>
  <c r="BR3" i="8"/>
  <c r="BS3" i="8"/>
  <c r="BT3" i="8"/>
  <c r="BU3" i="8"/>
  <c r="BV3" i="8"/>
  <c r="BW3" i="8"/>
  <c r="BX3" i="8"/>
  <c r="BY3" i="8"/>
  <c r="BZ3" i="8"/>
  <c r="CA3" i="8"/>
  <c r="CB3" i="8"/>
  <c r="CC3" i="8"/>
  <c r="CD3" i="8"/>
  <c r="CE3" i="8"/>
  <c r="CF3" i="8"/>
  <c r="CG3" i="8"/>
  <c r="CH3" i="8"/>
  <c r="CI3" i="8"/>
  <c r="CJ3" i="8"/>
  <c r="CK3" i="8"/>
  <c r="CL3" i="8"/>
  <c r="CM3" i="8"/>
  <c r="CN3" i="8"/>
  <c r="CO3" i="8"/>
  <c r="CP3" i="8"/>
  <c r="CQ3" i="8"/>
  <c r="CR3" i="8"/>
  <c r="CS3" i="8"/>
  <c r="CT3" i="8"/>
  <c r="CU3" i="8"/>
  <c r="CV3" i="8"/>
  <c r="CW3" i="8"/>
  <c r="CX3" i="8"/>
  <c r="CY3" i="8"/>
  <c r="CZ3" i="8"/>
  <c r="DA3" i="8"/>
  <c r="DB3" i="8"/>
  <c r="DC3" i="8"/>
  <c r="DD3" i="8"/>
  <c r="DE3" i="8"/>
  <c r="DF3" i="8"/>
  <c r="DG3" i="8"/>
  <c r="DH3" i="8"/>
  <c r="DI3" i="8"/>
  <c r="DJ3" i="8"/>
  <c r="DK3" i="8"/>
  <c r="DL3" i="8"/>
  <c r="DM3" i="8"/>
  <c r="DN3" i="8"/>
  <c r="DO3" i="8"/>
  <c r="DP3" i="8"/>
  <c r="DQ3" i="8"/>
  <c r="DR3" i="8"/>
  <c r="DS3" i="8"/>
  <c r="DT3" i="8"/>
  <c r="DU3" i="8"/>
  <c r="DV3" i="8"/>
  <c r="DW3" i="8"/>
  <c r="DX3" i="8"/>
  <c r="DY3" i="8"/>
  <c r="DZ3" i="8"/>
  <c r="EA3" i="8"/>
  <c r="EB3" i="8"/>
  <c r="EC3" i="8"/>
  <c r="ED3" i="8"/>
  <c r="EE3" i="8"/>
  <c r="EF3" i="8"/>
  <c r="EG3" i="8"/>
  <c r="EH3" i="8"/>
  <c r="EI3" i="8"/>
  <c r="EJ3" i="8"/>
  <c r="EK3" i="8"/>
  <c r="EL3" i="8"/>
  <c r="EM3" i="8"/>
  <c r="EN3" i="8"/>
  <c r="EO3" i="8"/>
  <c r="EP3" i="8"/>
  <c r="EQ3" i="8"/>
  <c r="ER3" i="8"/>
  <c r="ES3" i="8"/>
  <c r="ET3" i="8"/>
  <c r="EU3" i="8"/>
  <c r="EV3" i="8"/>
  <c r="EW3" i="8"/>
  <c r="EX3" i="8"/>
  <c r="EY3" i="8"/>
  <c r="EZ3" i="8"/>
  <c r="FA3" i="8"/>
  <c r="FB3" i="8"/>
  <c r="FC3" i="8"/>
  <c r="FD3" i="8"/>
  <c r="FE3" i="8"/>
  <c r="FF3" i="8"/>
  <c r="FG3" i="8"/>
  <c r="FH3" i="8"/>
  <c r="FI3" i="8"/>
  <c r="FJ3" i="8"/>
  <c r="FK3" i="8"/>
  <c r="FL3" i="8"/>
  <c r="FM3" i="8"/>
  <c r="FN3" i="8"/>
  <c r="FO3" i="8"/>
  <c r="FP3" i="8"/>
  <c r="FQ3" i="8"/>
  <c r="FR3" i="8"/>
  <c r="FS3" i="8"/>
  <c r="FT3" i="8"/>
  <c r="FU3" i="8"/>
  <c r="FV3" i="8"/>
  <c r="FW3" i="8"/>
  <c r="FX3" i="8"/>
  <c r="FY3" i="8"/>
  <c r="FZ3" i="8"/>
  <c r="GA3" i="8"/>
  <c r="GB3" i="8"/>
  <c r="GC3" i="8"/>
  <c r="GD3" i="8"/>
  <c r="GE3" i="8"/>
  <c r="GF3" i="8"/>
  <c r="GG3" i="8"/>
  <c r="GH3" i="8"/>
  <c r="GI3" i="8"/>
  <c r="GJ3" i="8"/>
  <c r="GK3" i="8"/>
  <c r="GL3" i="8"/>
  <c r="GM3" i="8"/>
  <c r="GN3" i="8"/>
  <c r="GO3" i="8"/>
  <c r="GP3" i="8"/>
  <c r="GQ3" i="8"/>
  <c r="GR3" i="8"/>
  <c r="GS3" i="8"/>
  <c r="GT3" i="8"/>
  <c r="GU3" i="8"/>
  <c r="GV3" i="8"/>
  <c r="GW3" i="8"/>
  <c r="GX3" i="8"/>
  <c r="GY3" i="8"/>
  <c r="GZ3" i="8"/>
  <c r="HA3" i="8"/>
  <c r="HB3" i="8"/>
  <c r="HC3" i="8"/>
  <c r="HD3" i="8"/>
  <c r="HE3" i="8"/>
  <c r="HF3" i="8"/>
  <c r="HG3" i="8"/>
  <c r="HH3" i="8"/>
  <c r="HI3" i="8"/>
  <c r="HJ3" i="8"/>
  <c r="HK3" i="8"/>
  <c r="HL3" i="8"/>
  <c r="HM3" i="8"/>
  <c r="HN3" i="8"/>
  <c r="HO3" i="8"/>
  <c r="HP3" i="8"/>
  <c r="HQ3" i="8"/>
  <c r="HR3" i="8"/>
  <c r="HS3" i="8"/>
  <c r="HT3" i="8"/>
  <c r="HU3" i="8"/>
  <c r="HV3" i="8"/>
  <c r="HW3" i="8"/>
  <c r="HX3" i="8"/>
  <c r="I4" i="8"/>
  <c r="J4" i="8"/>
  <c r="K4" i="8"/>
  <c r="L4" i="8"/>
  <c r="M4" i="8"/>
  <c r="N4" i="8"/>
  <c r="O4" i="8"/>
  <c r="P4" i="8"/>
  <c r="Q4" i="8"/>
  <c r="R4" i="8"/>
  <c r="S4" i="8"/>
  <c r="T4" i="8"/>
  <c r="U4" i="8"/>
  <c r="V4" i="8"/>
  <c r="W4" i="8"/>
  <c r="X4" i="8"/>
  <c r="Y4" i="8"/>
  <c r="Z4" i="8"/>
  <c r="AA4" i="8"/>
  <c r="AB4" i="8"/>
  <c r="AC4" i="8"/>
  <c r="AD4" i="8"/>
  <c r="AE4" i="8"/>
  <c r="AF4" i="8"/>
  <c r="AG4" i="8"/>
  <c r="AH4" i="8"/>
  <c r="AI4" i="8"/>
  <c r="AJ4" i="8"/>
  <c r="AK4" i="8"/>
  <c r="AL4" i="8"/>
  <c r="AM4" i="8"/>
  <c r="AN4" i="8"/>
  <c r="AO4" i="8"/>
  <c r="AP4" i="8"/>
  <c r="AQ4" i="8"/>
  <c r="AR4" i="8"/>
  <c r="AS4" i="8"/>
  <c r="AT4" i="8"/>
  <c r="AU4" i="8"/>
  <c r="AV4" i="8"/>
  <c r="AW4" i="8"/>
  <c r="AX4" i="8"/>
  <c r="AY4" i="8"/>
  <c r="AZ4" i="8"/>
  <c r="BA4" i="8"/>
  <c r="BB4" i="8"/>
  <c r="BC4" i="8"/>
  <c r="BD4" i="8"/>
  <c r="BE4" i="8"/>
  <c r="BF4" i="8"/>
  <c r="BG4" i="8"/>
  <c r="BH4" i="8"/>
  <c r="BI4" i="8"/>
  <c r="BJ4" i="8"/>
  <c r="BK4" i="8"/>
  <c r="BL4" i="8"/>
  <c r="BM4" i="8"/>
  <c r="BN4" i="8"/>
  <c r="BO4" i="8"/>
  <c r="BP4" i="8"/>
  <c r="BQ4" i="8"/>
  <c r="BR4" i="8"/>
  <c r="BS4" i="8"/>
  <c r="BT4" i="8"/>
  <c r="BU4" i="8"/>
  <c r="BV4" i="8"/>
  <c r="BW4" i="8"/>
  <c r="BX4" i="8"/>
  <c r="BY4" i="8"/>
  <c r="BZ4" i="8"/>
  <c r="CA4" i="8"/>
  <c r="CB4" i="8"/>
  <c r="CC4" i="8"/>
  <c r="CD4" i="8"/>
  <c r="CE4" i="8"/>
  <c r="CF4" i="8"/>
  <c r="CG4" i="8"/>
  <c r="CH4" i="8"/>
  <c r="CI4" i="8"/>
  <c r="CJ4" i="8"/>
  <c r="CK4" i="8"/>
  <c r="CL4" i="8"/>
  <c r="CM4" i="8"/>
  <c r="CN4" i="8"/>
  <c r="CO4" i="8"/>
  <c r="CP4" i="8"/>
  <c r="CQ4" i="8"/>
  <c r="CR4" i="8"/>
  <c r="CS4" i="8"/>
  <c r="CT4" i="8"/>
  <c r="CU4" i="8"/>
  <c r="CV4" i="8"/>
  <c r="CW4" i="8"/>
  <c r="CX4" i="8"/>
  <c r="CY4" i="8"/>
  <c r="CZ4" i="8"/>
  <c r="DA4" i="8"/>
  <c r="DB4" i="8"/>
  <c r="DC4" i="8"/>
  <c r="DD4" i="8"/>
  <c r="DE4" i="8"/>
  <c r="DF4" i="8"/>
  <c r="DG4" i="8"/>
  <c r="DH4" i="8"/>
  <c r="DI4" i="8"/>
  <c r="DJ4" i="8"/>
  <c r="DK4" i="8"/>
  <c r="DL4" i="8"/>
  <c r="DM4" i="8"/>
  <c r="DN4" i="8"/>
  <c r="DO4" i="8"/>
  <c r="DP4" i="8"/>
  <c r="DQ4" i="8"/>
  <c r="DR4" i="8"/>
  <c r="DS4" i="8"/>
  <c r="DT4" i="8"/>
  <c r="DU4" i="8"/>
  <c r="DV4" i="8"/>
  <c r="DW4" i="8"/>
  <c r="DX4" i="8"/>
  <c r="DY4" i="8"/>
  <c r="DZ4" i="8"/>
  <c r="EA4" i="8"/>
  <c r="EB4" i="8"/>
  <c r="EC4" i="8"/>
  <c r="ED4" i="8"/>
  <c r="EE4" i="8"/>
  <c r="EF4" i="8"/>
  <c r="EG4" i="8"/>
  <c r="EH4" i="8"/>
  <c r="EI4" i="8"/>
  <c r="EJ4" i="8"/>
  <c r="EK4" i="8"/>
  <c r="EL4" i="8"/>
  <c r="EM4" i="8"/>
  <c r="EN4" i="8"/>
  <c r="EO4" i="8"/>
  <c r="EP4" i="8"/>
  <c r="EQ4" i="8"/>
  <c r="ER4" i="8"/>
  <c r="ES4" i="8"/>
  <c r="ET4" i="8"/>
  <c r="EU4" i="8"/>
  <c r="EV4" i="8"/>
  <c r="EW4" i="8"/>
  <c r="EX4" i="8"/>
  <c r="EY4" i="8"/>
  <c r="EZ4" i="8"/>
  <c r="FA4" i="8"/>
  <c r="FB4" i="8"/>
  <c r="FC4" i="8"/>
  <c r="FD4" i="8"/>
  <c r="FE4" i="8"/>
  <c r="FF4" i="8"/>
  <c r="FG4" i="8"/>
  <c r="FH4" i="8"/>
  <c r="FI4" i="8"/>
  <c r="FJ4" i="8"/>
  <c r="FK4" i="8"/>
  <c r="FL4" i="8"/>
  <c r="FM4" i="8"/>
  <c r="FN4" i="8"/>
  <c r="FO4" i="8"/>
  <c r="FP4" i="8"/>
  <c r="FQ4" i="8"/>
  <c r="FR4" i="8"/>
  <c r="FS4" i="8"/>
  <c r="FT4" i="8"/>
  <c r="FU4" i="8"/>
  <c r="FV4" i="8"/>
  <c r="FW4" i="8"/>
  <c r="FX4" i="8"/>
  <c r="FY4" i="8"/>
  <c r="FZ4" i="8"/>
  <c r="GA4" i="8"/>
  <c r="GB4" i="8"/>
  <c r="GC4" i="8"/>
  <c r="GD4" i="8"/>
  <c r="GE4" i="8"/>
  <c r="GF4" i="8"/>
  <c r="GG4" i="8"/>
  <c r="GH4" i="8"/>
  <c r="GI4" i="8"/>
  <c r="GJ4" i="8"/>
  <c r="GK4" i="8"/>
  <c r="GL4" i="8"/>
  <c r="GM4" i="8"/>
  <c r="GN4" i="8"/>
  <c r="GO4" i="8"/>
  <c r="GP4" i="8"/>
  <c r="GQ4" i="8"/>
  <c r="GR4" i="8"/>
  <c r="GS4" i="8"/>
  <c r="GT4" i="8"/>
  <c r="GU4" i="8"/>
  <c r="GV4" i="8"/>
  <c r="GW4" i="8"/>
  <c r="GX4" i="8"/>
  <c r="GY4" i="8"/>
  <c r="GZ4" i="8"/>
  <c r="HA4" i="8"/>
  <c r="HB4" i="8"/>
  <c r="HC4" i="8"/>
  <c r="HD4" i="8"/>
  <c r="HE4" i="8"/>
  <c r="HF4" i="8"/>
  <c r="HG4" i="8"/>
  <c r="HH4" i="8"/>
  <c r="HI4" i="8"/>
  <c r="HJ4" i="8"/>
  <c r="HK4" i="8"/>
  <c r="HL4" i="8"/>
  <c r="HM4" i="8"/>
  <c r="HN4" i="8"/>
  <c r="HO4" i="8"/>
  <c r="HP4" i="8"/>
  <c r="HQ4" i="8"/>
  <c r="HR4" i="8"/>
  <c r="HS4" i="8"/>
  <c r="HT4" i="8"/>
  <c r="HU4" i="8"/>
  <c r="HV4" i="8"/>
  <c r="HW4" i="8"/>
  <c r="HX4" i="8"/>
  <c r="I5" i="8"/>
  <c r="J5" i="8"/>
  <c r="K5" i="8"/>
  <c r="L5" i="8"/>
  <c r="M5" i="8"/>
  <c r="N5" i="8"/>
  <c r="O5" i="8"/>
  <c r="P5" i="8"/>
  <c r="Q5" i="8"/>
  <c r="R5" i="8"/>
  <c r="S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AJ5" i="8"/>
  <c r="AK5" i="8"/>
  <c r="AL5" i="8"/>
  <c r="AM5" i="8"/>
  <c r="AN5" i="8"/>
  <c r="AO5" i="8"/>
  <c r="AP5" i="8"/>
  <c r="AQ5" i="8"/>
  <c r="AR5" i="8"/>
  <c r="AS5" i="8"/>
  <c r="AT5" i="8"/>
  <c r="AU5" i="8"/>
  <c r="AV5" i="8"/>
  <c r="AW5" i="8"/>
  <c r="AX5" i="8"/>
  <c r="AY5" i="8"/>
  <c r="AZ5" i="8"/>
  <c r="BA5" i="8"/>
  <c r="BB5" i="8"/>
  <c r="BC5" i="8"/>
  <c r="BD5" i="8"/>
  <c r="BE5" i="8"/>
  <c r="BF5" i="8"/>
  <c r="BG5" i="8"/>
  <c r="BH5" i="8"/>
  <c r="BI5" i="8"/>
  <c r="BJ5" i="8"/>
  <c r="BK5" i="8"/>
  <c r="BL5" i="8"/>
  <c r="BM5" i="8"/>
  <c r="BN5" i="8"/>
  <c r="BO5" i="8"/>
  <c r="BP5" i="8"/>
  <c r="BQ5" i="8"/>
  <c r="BR5" i="8"/>
  <c r="BS5" i="8"/>
  <c r="BT5" i="8"/>
  <c r="BU5" i="8"/>
  <c r="BV5" i="8"/>
  <c r="BW5" i="8"/>
  <c r="BX5" i="8"/>
  <c r="BY5" i="8"/>
  <c r="BZ5" i="8"/>
  <c r="CA5" i="8"/>
  <c r="CB5" i="8"/>
  <c r="CC5" i="8"/>
  <c r="CD5" i="8"/>
  <c r="CE5" i="8"/>
  <c r="CF5" i="8"/>
  <c r="CG5" i="8"/>
  <c r="CH5" i="8"/>
  <c r="CI5" i="8"/>
  <c r="CJ5" i="8"/>
  <c r="CK5" i="8"/>
  <c r="CL5" i="8"/>
  <c r="CM5" i="8"/>
  <c r="CN5" i="8"/>
  <c r="CO5" i="8"/>
  <c r="CP5" i="8"/>
  <c r="CQ5" i="8"/>
  <c r="CR5" i="8"/>
  <c r="CS5" i="8"/>
  <c r="CT5" i="8"/>
  <c r="CU5" i="8"/>
  <c r="CV5" i="8"/>
  <c r="CW5" i="8"/>
  <c r="CX5" i="8"/>
  <c r="CY5" i="8"/>
  <c r="CZ5" i="8"/>
  <c r="DA5" i="8"/>
  <c r="DB5" i="8"/>
  <c r="DC5" i="8"/>
  <c r="DD5" i="8"/>
  <c r="DE5" i="8"/>
  <c r="DF5" i="8"/>
  <c r="DG5" i="8"/>
  <c r="DH5" i="8"/>
  <c r="DI5" i="8"/>
  <c r="DJ5" i="8"/>
  <c r="DK5" i="8"/>
  <c r="DL5" i="8"/>
  <c r="DM5" i="8"/>
  <c r="DN5" i="8"/>
  <c r="DO5" i="8"/>
  <c r="DP5" i="8"/>
  <c r="DQ5" i="8"/>
  <c r="DR5" i="8"/>
  <c r="DS5" i="8"/>
  <c r="DT5" i="8"/>
  <c r="DU5" i="8"/>
  <c r="DV5" i="8"/>
  <c r="DW5" i="8"/>
  <c r="DX5" i="8"/>
  <c r="DY5" i="8"/>
  <c r="DZ5" i="8"/>
  <c r="EA5" i="8"/>
  <c r="EB5" i="8"/>
  <c r="EC5" i="8"/>
  <c r="ED5" i="8"/>
  <c r="EE5" i="8"/>
  <c r="EF5" i="8"/>
  <c r="EG5" i="8"/>
  <c r="EH5" i="8"/>
  <c r="EI5" i="8"/>
  <c r="EJ5" i="8"/>
  <c r="EK5" i="8"/>
  <c r="EL5" i="8"/>
  <c r="EM5" i="8"/>
  <c r="EN5" i="8"/>
  <c r="EO5" i="8"/>
  <c r="EP5" i="8"/>
  <c r="EQ5" i="8"/>
  <c r="ER5" i="8"/>
  <c r="ES5" i="8"/>
  <c r="ET5" i="8"/>
  <c r="EU5" i="8"/>
  <c r="EV5" i="8"/>
  <c r="EW5" i="8"/>
  <c r="EX5" i="8"/>
  <c r="EY5" i="8"/>
  <c r="EZ5" i="8"/>
  <c r="FA5" i="8"/>
  <c r="FB5" i="8"/>
  <c r="FC5" i="8"/>
  <c r="FD5" i="8"/>
  <c r="FE5" i="8"/>
  <c r="FF5" i="8"/>
  <c r="FG5" i="8"/>
  <c r="FH5" i="8"/>
  <c r="FI5" i="8"/>
  <c r="FJ5" i="8"/>
  <c r="FK5" i="8"/>
  <c r="FL5" i="8"/>
  <c r="FM5" i="8"/>
  <c r="FN5" i="8"/>
  <c r="FO5" i="8"/>
  <c r="FP5" i="8"/>
  <c r="FQ5" i="8"/>
  <c r="FR5" i="8"/>
  <c r="FS5" i="8"/>
  <c r="FT5" i="8"/>
  <c r="FU5" i="8"/>
  <c r="FV5" i="8"/>
  <c r="FW5" i="8"/>
  <c r="FX5" i="8"/>
  <c r="FY5" i="8"/>
  <c r="FZ5" i="8"/>
  <c r="GA5" i="8"/>
  <c r="GB5" i="8"/>
  <c r="GC5" i="8"/>
  <c r="GD5" i="8"/>
  <c r="GE5" i="8"/>
  <c r="GF5" i="8"/>
  <c r="GG5" i="8"/>
  <c r="GH5" i="8"/>
  <c r="GI5" i="8"/>
  <c r="GJ5" i="8"/>
  <c r="GK5" i="8"/>
  <c r="GL5" i="8"/>
  <c r="GM5" i="8"/>
  <c r="GN5" i="8"/>
  <c r="GO5" i="8"/>
  <c r="GP5" i="8"/>
  <c r="GQ5" i="8"/>
  <c r="GR5" i="8"/>
  <c r="GS5" i="8"/>
  <c r="GT5" i="8"/>
  <c r="GU5" i="8"/>
  <c r="GV5" i="8"/>
  <c r="GW5" i="8"/>
  <c r="GX5" i="8"/>
  <c r="GY5" i="8"/>
  <c r="GZ5" i="8"/>
  <c r="HA5" i="8"/>
  <c r="HB5" i="8"/>
  <c r="HC5" i="8"/>
  <c r="HD5" i="8"/>
  <c r="HE5" i="8"/>
  <c r="HF5" i="8"/>
  <c r="HG5" i="8"/>
  <c r="HH5" i="8"/>
  <c r="HI5" i="8"/>
  <c r="HJ5" i="8"/>
  <c r="HK5" i="8"/>
  <c r="HL5" i="8"/>
  <c r="HM5" i="8"/>
  <c r="HN5" i="8"/>
  <c r="HO5" i="8"/>
  <c r="HP5" i="8"/>
  <c r="HQ5" i="8"/>
  <c r="HR5" i="8"/>
  <c r="HS5" i="8"/>
  <c r="HT5" i="8"/>
  <c r="HU5" i="8"/>
  <c r="HV5" i="8"/>
  <c r="HW5" i="8"/>
  <c r="HX5" i="8"/>
  <c r="I6" i="8"/>
  <c r="J6" i="8"/>
  <c r="K6" i="8"/>
  <c r="L6" i="8"/>
  <c r="M6" i="8"/>
  <c r="N6" i="8"/>
  <c r="O6" i="8"/>
  <c r="P6" i="8"/>
  <c r="Q6" i="8"/>
  <c r="R6" i="8"/>
  <c r="S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AJ6" i="8"/>
  <c r="AK6" i="8"/>
  <c r="AL6" i="8"/>
  <c r="AM6" i="8"/>
  <c r="AN6" i="8"/>
  <c r="AO6" i="8"/>
  <c r="AP6" i="8"/>
  <c r="AQ6" i="8"/>
  <c r="AR6" i="8"/>
  <c r="AS6" i="8"/>
  <c r="AT6" i="8"/>
  <c r="AU6" i="8"/>
  <c r="AV6" i="8"/>
  <c r="AW6" i="8"/>
  <c r="AX6" i="8"/>
  <c r="AY6" i="8"/>
  <c r="AZ6" i="8"/>
  <c r="BA6" i="8"/>
  <c r="BB6" i="8"/>
  <c r="BC6" i="8"/>
  <c r="BD6" i="8"/>
  <c r="BE6" i="8"/>
  <c r="BF6" i="8"/>
  <c r="BG6" i="8"/>
  <c r="BH6" i="8"/>
  <c r="BI6" i="8"/>
  <c r="BJ6" i="8"/>
  <c r="BK6" i="8"/>
  <c r="BL6" i="8"/>
  <c r="BM6" i="8"/>
  <c r="BN6" i="8"/>
  <c r="BO6" i="8"/>
  <c r="BP6" i="8"/>
  <c r="BQ6" i="8"/>
  <c r="BR6" i="8"/>
  <c r="BS6" i="8"/>
  <c r="BT6" i="8"/>
  <c r="BU6" i="8"/>
  <c r="BV6" i="8"/>
  <c r="BW6" i="8"/>
  <c r="BX6" i="8"/>
  <c r="BY6" i="8"/>
  <c r="BZ6" i="8"/>
  <c r="CA6" i="8"/>
  <c r="CB6" i="8"/>
  <c r="CC6" i="8"/>
  <c r="CD6" i="8"/>
  <c r="CE6" i="8"/>
  <c r="CF6" i="8"/>
  <c r="CG6" i="8"/>
  <c r="CH6" i="8"/>
  <c r="CI6" i="8"/>
  <c r="CJ6" i="8"/>
  <c r="CK6" i="8"/>
  <c r="CL6" i="8"/>
  <c r="CM6" i="8"/>
  <c r="CN6" i="8"/>
  <c r="CO6" i="8"/>
  <c r="CP6" i="8"/>
  <c r="CQ6" i="8"/>
  <c r="CR6" i="8"/>
  <c r="CS6" i="8"/>
  <c r="CT6" i="8"/>
  <c r="CU6" i="8"/>
  <c r="CV6" i="8"/>
  <c r="CW6" i="8"/>
  <c r="CX6" i="8"/>
  <c r="CY6" i="8"/>
  <c r="CZ6" i="8"/>
  <c r="DA6" i="8"/>
  <c r="DB6" i="8"/>
  <c r="DC6" i="8"/>
  <c r="DD6" i="8"/>
  <c r="DE6" i="8"/>
  <c r="DF6" i="8"/>
  <c r="DG6" i="8"/>
  <c r="DH6" i="8"/>
  <c r="DI6" i="8"/>
  <c r="DJ6" i="8"/>
  <c r="DK6" i="8"/>
  <c r="DL6" i="8"/>
  <c r="DM6" i="8"/>
  <c r="DN6" i="8"/>
  <c r="DO6" i="8"/>
  <c r="DP6" i="8"/>
  <c r="DQ6" i="8"/>
  <c r="DR6" i="8"/>
  <c r="DS6" i="8"/>
  <c r="DT6" i="8"/>
  <c r="DU6" i="8"/>
  <c r="DV6" i="8"/>
  <c r="DW6" i="8"/>
  <c r="DX6" i="8"/>
  <c r="DY6" i="8"/>
  <c r="DZ6" i="8"/>
  <c r="EA6" i="8"/>
  <c r="EB6" i="8"/>
  <c r="EC6" i="8"/>
  <c r="ED6" i="8"/>
  <c r="EE6" i="8"/>
  <c r="EF6" i="8"/>
  <c r="EG6" i="8"/>
  <c r="EH6" i="8"/>
  <c r="EI6" i="8"/>
  <c r="EJ6" i="8"/>
  <c r="EK6" i="8"/>
  <c r="EL6" i="8"/>
  <c r="EM6" i="8"/>
  <c r="EN6" i="8"/>
  <c r="EO6" i="8"/>
  <c r="EP6" i="8"/>
  <c r="EQ6" i="8"/>
  <c r="ER6" i="8"/>
  <c r="ES6" i="8"/>
  <c r="ET6" i="8"/>
  <c r="EU6" i="8"/>
  <c r="EV6" i="8"/>
  <c r="EW6" i="8"/>
  <c r="EX6" i="8"/>
  <c r="EY6" i="8"/>
  <c r="EZ6" i="8"/>
  <c r="FA6" i="8"/>
  <c r="FB6" i="8"/>
  <c r="FC6" i="8"/>
  <c r="FD6" i="8"/>
  <c r="FE6" i="8"/>
  <c r="FF6" i="8"/>
  <c r="FG6" i="8"/>
  <c r="FH6" i="8"/>
  <c r="FI6" i="8"/>
  <c r="FJ6" i="8"/>
  <c r="FK6" i="8"/>
  <c r="FL6" i="8"/>
  <c r="FM6" i="8"/>
  <c r="FN6" i="8"/>
  <c r="FO6" i="8"/>
  <c r="FP6" i="8"/>
  <c r="FQ6" i="8"/>
  <c r="FR6" i="8"/>
  <c r="FS6" i="8"/>
  <c r="FT6" i="8"/>
  <c r="FU6" i="8"/>
  <c r="FV6" i="8"/>
  <c r="FW6" i="8"/>
  <c r="FX6" i="8"/>
  <c r="FY6" i="8"/>
  <c r="FZ6" i="8"/>
  <c r="GA6" i="8"/>
  <c r="GB6" i="8"/>
  <c r="GC6" i="8"/>
  <c r="GD6" i="8"/>
  <c r="GE6" i="8"/>
  <c r="GF6" i="8"/>
  <c r="GG6" i="8"/>
  <c r="GH6" i="8"/>
  <c r="GI6" i="8"/>
  <c r="GJ6" i="8"/>
  <c r="GK6" i="8"/>
  <c r="GL6" i="8"/>
  <c r="GM6" i="8"/>
  <c r="GN6" i="8"/>
  <c r="GO6" i="8"/>
  <c r="GP6" i="8"/>
  <c r="GQ6" i="8"/>
  <c r="GR6" i="8"/>
  <c r="GS6" i="8"/>
  <c r="GT6" i="8"/>
  <c r="GU6" i="8"/>
  <c r="GV6" i="8"/>
  <c r="GW6" i="8"/>
  <c r="GX6" i="8"/>
  <c r="GY6" i="8"/>
  <c r="GZ6" i="8"/>
  <c r="HA6" i="8"/>
  <c r="HB6" i="8"/>
  <c r="HC6" i="8"/>
  <c r="HD6" i="8"/>
  <c r="HE6" i="8"/>
  <c r="HF6" i="8"/>
  <c r="HG6" i="8"/>
  <c r="HH6" i="8"/>
  <c r="HI6" i="8"/>
  <c r="HJ6" i="8"/>
  <c r="HK6" i="8"/>
  <c r="HL6" i="8"/>
  <c r="HM6" i="8"/>
  <c r="HN6" i="8"/>
  <c r="HO6" i="8"/>
  <c r="HP6" i="8"/>
  <c r="HQ6" i="8"/>
  <c r="HR6" i="8"/>
  <c r="HS6" i="8"/>
  <c r="HT6" i="8"/>
  <c r="HU6" i="8"/>
  <c r="HV6" i="8"/>
  <c r="HW6" i="8"/>
  <c r="HX6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AJ7" i="8"/>
  <c r="AK7" i="8"/>
  <c r="AL7" i="8"/>
  <c r="AM7" i="8"/>
  <c r="AN7" i="8"/>
  <c r="AO7" i="8"/>
  <c r="AP7" i="8"/>
  <c r="AQ7" i="8"/>
  <c r="AR7" i="8"/>
  <c r="AS7" i="8"/>
  <c r="AT7" i="8"/>
  <c r="AU7" i="8"/>
  <c r="AV7" i="8"/>
  <c r="AW7" i="8"/>
  <c r="AX7" i="8"/>
  <c r="AY7" i="8"/>
  <c r="AZ7" i="8"/>
  <c r="BA7" i="8"/>
  <c r="BB7" i="8"/>
  <c r="BC7" i="8"/>
  <c r="BD7" i="8"/>
  <c r="BE7" i="8"/>
  <c r="BF7" i="8"/>
  <c r="BG7" i="8"/>
  <c r="BH7" i="8"/>
  <c r="BI7" i="8"/>
  <c r="BJ7" i="8"/>
  <c r="BK7" i="8"/>
  <c r="BL7" i="8"/>
  <c r="BM7" i="8"/>
  <c r="BN7" i="8"/>
  <c r="BO7" i="8"/>
  <c r="BP7" i="8"/>
  <c r="BQ7" i="8"/>
  <c r="BR7" i="8"/>
  <c r="BS7" i="8"/>
  <c r="BT7" i="8"/>
  <c r="BU7" i="8"/>
  <c r="BV7" i="8"/>
  <c r="BW7" i="8"/>
  <c r="BX7" i="8"/>
  <c r="BY7" i="8"/>
  <c r="BZ7" i="8"/>
  <c r="CA7" i="8"/>
  <c r="CB7" i="8"/>
  <c r="CC7" i="8"/>
  <c r="CD7" i="8"/>
  <c r="CE7" i="8"/>
  <c r="CF7" i="8"/>
  <c r="CG7" i="8"/>
  <c r="CH7" i="8"/>
  <c r="CI7" i="8"/>
  <c r="CJ7" i="8"/>
  <c r="CK7" i="8"/>
  <c r="CL7" i="8"/>
  <c r="CM7" i="8"/>
  <c r="CN7" i="8"/>
  <c r="CO7" i="8"/>
  <c r="CP7" i="8"/>
  <c r="CQ7" i="8"/>
  <c r="CR7" i="8"/>
  <c r="CS7" i="8"/>
  <c r="CT7" i="8"/>
  <c r="CU7" i="8"/>
  <c r="CV7" i="8"/>
  <c r="CW7" i="8"/>
  <c r="CX7" i="8"/>
  <c r="CY7" i="8"/>
  <c r="CZ7" i="8"/>
  <c r="DA7" i="8"/>
  <c r="DB7" i="8"/>
  <c r="DC7" i="8"/>
  <c r="DD7" i="8"/>
  <c r="DE7" i="8"/>
  <c r="DF7" i="8"/>
  <c r="DG7" i="8"/>
  <c r="DH7" i="8"/>
  <c r="DI7" i="8"/>
  <c r="DJ7" i="8"/>
  <c r="DK7" i="8"/>
  <c r="DL7" i="8"/>
  <c r="DM7" i="8"/>
  <c r="DN7" i="8"/>
  <c r="DO7" i="8"/>
  <c r="DP7" i="8"/>
  <c r="DQ7" i="8"/>
  <c r="DR7" i="8"/>
  <c r="DS7" i="8"/>
  <c r="DT7" i="8"/>
  <c r="DU7" i="8"/>
  <c r="DV7" i="8"/>
  <c r="DW7" i="8"/>
  <c r="DX7" i="8"/>
  <c r="DY7" i="8"/>
  <c r="DZ7" i="8"/>
  <c r="EA7" i="8"/>
  <c r="EB7" i="8"/>
  <c r="EC7" i="8"/>
  <c r="ED7" i="8"/>
  <c r="EE7" i="8"/>
  <c r="EF7" i="8"/>
  <c r="EG7" i="8"/>
  <c r="EH7" i="8"/>
  <c r="EI7" i="8"/>
  <c r="EJ7" i="8"/>
  <c r="EK7" i="8"/>
  <c r="EL7" i="8"/>
  <c r="EM7" i="8"/>
  <c r="EN7" i="8"/>
  <c r="EO7" i="8"/>
  <c r="EP7" i="8"/>
  <c r="EQ7" i="8"/>
  <c r="ER7" i="8"/>
  <c r="ES7" i="8"/>
  <c r="ET7" i="8"/>
  <c r="EU7" i="8"/>
  <c r="EV7" i="8"/>
  <c r="EW7" i="8"/>
  <c r="EX7" i="8"/>
  <c r="EY7" i="8"/>
  <c r="EZ7" i="8"/>
  <c r="FA7" i="8"/>
  <c r="FB7" i="8"/>
  <c r="FC7" i="8"/>
  <c r="FD7" i="8"/>
  <c r="FE7" i="8"/>
  <c r="FF7" i="8"/>
  <c r="FG7" i="8"/>
  <c r="FH7" i="8"/>
  <c r="FI7" i="8"/>
  <c r="FJ7" i="8"/>
  <c r="FK7" i="8"/>
  <c r="FL7" i="8"/>
  <c r="FM7" i="8"/>
  <c r="FN7" i="8"/>
  <c r="FO7" i="8"/>
  <c r="FP7" i="8"/>
  <c r="FQ7" i="8"/>
  <c r="FR7" i="8"/>
  <c r="FS7" i="8"/>
  <c r="FT7" i="8"/>
  <c r="FU7" i="8"/>
  <c r="FV7" i="8"/>
  <c r="FW7" i="8"/>
  <c r="FX7" i="8"/>
  <c r="FY7" i="8"/>
  <c r="FZ7" i="8"/>
  <c r="GA7" i="8"/>
  <c r="GB7" i="8"/>
  <c r="GC7" i="8"/>
  <c r="GD7" i="8"/>
  <c r="GE7" i="8"/>
  <c r="GF7" i="8"/>
  <c r="GG7" i="8"/>
  <c r="GH7" i="8"/>
  <c r="GI7" i="8"/>
  <c r="GJ7" i="8"/>
  <c r="GK7" i="8"/>
  <c r="GL7" i="8"/>
  <c r="GM7" i="8"/>
  <c r="GN7" i="8"/>
  <c r="GO7" i="8"/>
  <c r="GP7" i="8"/>
  <c r="GQ7" i="8"/>
  <c r="GR7" i="8"/>
  <c r="GS7" i="8"/>
  <c r="GT7" i="8"/>
  <c r="GU7" i="8"/>
  <c r="GV7" i="8"/>
  <c r="GW7" i="8"/>
  <c r="GX7" i="8"/>
  <c r="GY7" i="8"/>
  <c r="GZ7" i="8"/>
  <c r="HA7" i="8"/>
  <c r="HB7" i="8"/>
  <c r="HC7" i="8"/>
  <c r="HD7" i="8"/>
  <c r="HE7" i="8"/>
  <c r="HF7" i="8"/>
  <c r="HG7" i="8"/>
  <c r="HH7" i="8"/>
  <c r="HI7" i="8"/>
  <c r="HJ7" i="8"/>
  <c r="HK7" i="8"/>
  <c r="HL7" i="8"/>
  <c r="HM7" i="8"/>
  <c r="HN7" i="8"/>
  <c r="HO7" i="8"/>
  <c r="HP7" i="8"/>
  <c r="HQ7" i="8"/>
  <c r="HR7" i="8"/>
  <c r="HS7" i="8"/>
  <c r="HT7" i="8"/>
  <c r="HU7" i="8"/>
  <c r="HV7" i="8"/>
  <c r="HW7" i="8"/>
  <c r="HX7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AJ8" i="8"/>
  <c r="AK8" i="8"/>
  <c r="AL8" i="8"/>
  <c r="AM8" i="8"/>
  <c r="AN8" i="8"/>
  <c r="AO8" i="8"/>
  <c r="AP8" i="8"/>
  <c r="AQ8" i="8"/>
  <c r="AR8" i="8"/>
  <c r="AS8" i="8"/>
  <c r="AT8" i="8"/>
  <c r="AU8" i="8"/>
  <c r="AV8" i="8"/>
  <c r="AW8" i="8"/>
  <c r="AX8" i="8"/>
  <c r="AY8" i="8"/>
  <c r="AZ8" i="8"/>
  <c r="BA8" i="8"/>
  <c r="BB8" i="8"/>
  <c r="BC8" i="8"/>
  <c r="BD8" i="8"/>
  <c r="BE8" i="8"/>
  <c r="BF8" i="8"/>
  <c r="BG8" i="8"/>
  <c r="BH8" i="8"/>
  <c r="BI8" i="8"/>
  <c r="BJ8" i="8"/>
  <c r="BK8" i="8"/>
  <c r="BL8" i="8"/>
  <c r="BM8" i="8"/>
  <c r="BN8" i="8"/>
  <c r="BO8" i="8"/>
  <c r="BP8" i="8"/>
  <c r="BQ8" i="8"/>
  <c r="BR8" i="8"/>
  <c r="BS8" i="8"/>
  <c r="BT8" i="8"/>
  <c r="BU8" i="8"/>
  <c r="BV8" i="8"/>
  <c r="BW8" i="8"/>
  <c r="BX8" i="8"/>
  <c r="BY8" i="8"/>
  <c r="BZ8" i="8"/>
  <c r="CA8" i="8"/>
  <c r="CB8" i="8"/>
  <c r="CC8" i="8"/>
  <c r="CD8" i="8"/>
  <c r="CE8" i="8"/>
  <c r="CF8" i="8"/>
  <c r="CG8" i="8"/>
  <c r="CH8" i="8"/>
  <c r="CI8" i="8"/>
  <c r="CJ8" i="8"/>
  <c r="CK8" i="8"/>
  <c r="CL8" i="8"/>
  <c r="CM8" i="8"/>
  <c r="CN8" i="8"/>
  <c r="CO8" i="8"/>
  <c r="CP8" i="8"/>
  <c r="CQ8" i="8"/>
  <c r="CR8" i="8"/>
  <c r="CS8" i="8"/>
  <c r="CT8" i="8"/>
  <c r="CU8" i="8"/>
  <c r="CV8" i="8"/>
  <c r="CW8" i="8"/>
  <c r="CX8" i="8"/>
  <c r="CY8" i="8"/>
  <c r="CZ8" i="8"/>
  <c r="DA8" i="8"/>
  <c r="DB8" i="8"/>
  <c r="DC8" i="8"/>
  <c r="DD8" i="8"/>
  <c r="DE8" i="8"/>
  <c r="DF8" i="8"/>
  <c r="DG8" i="8"/>
  <c r="DH8" i="8"/>
  <c r="DI8" i="8"/>
  <c r="DJ8" i="8"/>
  <c r="DK8" i="8"/>
  <c r="DL8" i="8"/>
  <c r="DM8" i="8"/>
  <c r="DN8" i="8"/>
  <c r="DO8" i="8"/>
  <c r="DP8" i="8"/>
  <c r="DQ8" i="8"/>
  <c r="DR8" i="8"/>
  <c r="DS8" i="8"/>
  <c r="DT8" i="8"/>
  <c r="DU8" i="8"/>
  <c r="DV8" i="8"/>
  <c r="DW8" i="8"/>
  <c r="DX8" i="8"/>
  <c r="DY8" i="8"/>
  <c r="DZ8" i="8"/>
  <c r="EA8" i="8"/>
  <c r="EB8" i="8"/>
  <c r="EC8" i="8"/>
  <c r="ED8" i="8"/>
  <c r="EE8" i="8"/>
  <c r="EF8" i="8"/>
  <c r="EG8" i="8"/>
  <c r="EH8" i="8"/>
  <c r="EI8" i="8"/>
  <c r="EJ8" i="8"/>
  <c r="EK8" i="8"/>
  <c r="EL8" i="8"/>
  <c r="EM8" i="8"/>
  <c r="EN8" i="8"/>
  <c r="EO8" i="8"/>
  <c r="EP8" i="8"/>
  <c r="EQ8" i="8"/>
  <c r="ER8" i="8"/>
  <c r="ES8" i="8"/>
  <c r="ET8" i="8"/>
  <c r="EU8" i="8"/>
  <c r="EV8" i="8"/>
  <c r="EW8" i="8"/>
  <c r="EX8" i="8"/>
  <c r="EY8" i="8"/>
  <c r="EZ8" i="8"/>
  <c r="FA8" i="8"/>
  <c r="FB8" i="8"/>
  <c r="FC8" i="8"/>
  <c r="FD8" i="8"/>
  <c r="FE8" i="8"/>
  <c r="FF8" i="8"/>
  <c r="FG8" i="8"/>
  <c r="FH8" i="8"/>
  <c r="FI8" i="8"/>
  <c r="FJ8" i="8"/>
  <c r="FK8" i="8"/>
  <c r="FL8" i="8"/>
  <c r="FM8" i="8"/>
  <c r="FN8" i="8"/>
  <c r="FO8" i="8"/>
  <c r="FP8" i="8"/>
  <c r="FQ8" i="8"/>
  <c r="FR8" i="8"/>
  <c r="FS8" i="8"/>
  <c r="FT8" i="8"/>
  <c r="FU8" i="8"/>
  <c r="FV8" i="8"/>
  <c r="FW8" i="8"/>
  <c r="FX8" i="8"/>
  <c r="FY8" i="8"/>
  <c r="FZ8" i="8"/>
  <c r="GA8" i="8"/>
  <c r="GB8" i="8"/>
  <c r="GC8" i="8"/>
  <c r="GD8" i="8"/>
  <c r="GE8" i="8"/>
  <c r="GF8" i="8"/>
  <c r="GG8" i="8"/>
  <c r="GH8" i="8"/>
  <c r="GI8" i="8"/>
  <c r="GJ8" i="8"/>
  <c r="GK8" i="8"/>
  <c r="GL8" i="8"/>
  <c r="GM8" i="8"/>
  <c r="GN8" i="8"/>
  <c r="GO8" i="8"/>
  <c r="GP8" i="8"/>
  <c r="GQ8" i="8"/>
  <c r="GR8" i="8"/>
  <c r="GS8" i="8"/>
  <c r="GT8" i="8"/>
  <c r="GU8" i="8"/>
  <c r="GV8" i="8"/>
  <c r="GW8" i="8"/>
  <c r="GX8" i="8"/>
  <c r="GY8" i="8"/>
  <c r="GZ8" i="8"/>
  <c r="HA8" i="8"/>
  <c r="HB8" i="8"/>
  <c r="HC8" i="8"/>
  <c r="HD8" i="8"/>
  <c r="HE8" i="8"/>
  <c r="HF8" i="8"/>
  <c r="HG8" i="8"/>
  <c r="HH8" i="8"/>
  <c r="HI8" i="8"/>
  <c r="HJ8" i="8"/>
  <c r="HK8" i="8"/>
  <c r="HL8" i="8"/>
  <c r="HM8" i="8"/>
  <c r="HN8" i="8"/>
  <c r="HO8" i="8"/>
  <c r="HP8" i="8"/>
  <c r="HQ8" i="8"/>
  <c r="HR8" i="8"/>
  <c r="HS8" i="8"/>
  <c r="HT8" i="8"/>
  <c r="HU8" i="8"/>
  <c r="HV8" i="8"/>
  <c r="HW8" i="8"/>
  <c r="HX8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AJ9" i="8"/>
  <c r="AK9" i="8"/>
  <c r="AL9" i="8"/>
  <c r="AM9" i="8"/>
  <c r="AN9" i="8"/>
  <c r="AO9" i="8"/>
  <c r="AP9" i="8"/>
  <c r="AQ9" i="8"/>
  <c r="AR9" i="8"/>
  <c r="AS9" i="8"/>
  <c r="AT9" i="8"/>
  <c r="AU9" i="8"/>
  <c r="AV9" i="8"/>
  <c r="AW9" i="8"/>
  <c r="AX9" i="8"/>
  <c r="AY9" i="8"/>
  <c r="AZ9" i="8"/>
  <c r="BA9" i="8"/>
  <c r="BB9" i="8"/>
  <c r="BC9" i="8"/>
  <c r="BD9" i="8"/>
  <c r="BE9" i="8"/>
  <c r="BF9" i="8"/>
  <c r="BG9" i="8"/>
  <c r="BH9" i="8"/>
  <c r="BI9" i="8"/>
  <c r="BJ9" i="8"/>
  <c r="BK9" i="8"/>
  <c r="BL9" i="8"/>
  <c r="BM9" i="8"/>
  <c r="BN9" i="8"/>
  <c r="BO9" i="8"/>
  <c r="BP9" i="8"/>
  <c r="BQ9" i="8"/>
  <c r="BR9" i="8"/>
  <c r="BS9" i="8"/>
  <c r="BT9" i="8"/>
  <c r="BU9" i="8"/>
  <c r="BV9" i="8"/>
  <c r="BW9" i="8"/>
  <c r="BX9" i="8"/>
  <c r="BY9" i="8"/>
  <c r="BZ9" i="8"/>
  <c r="CA9" i="8"/>
  <c r="CB9" i="8"/>
  <c r="CC9" i="8"/>
  <c r="CD9" i="8"/>
  <c r="CE9" i="8"/>
  <c r="CF9" i="8"/>
  <c r="CG9" i="8"/>
  <c r="CH9" i="8"/>
  <c r="CI9" i="8"/>
  <c r="CJ9" i="8"/>
  <c r="CK9" i="8"/>
  <c r="CL9" i="8"/>
  <c r="CM9" i="8"/>
  <c r="CN9" i="8"/>
  <c r="CO9" i="8"/>
  <c r="CP9" i="8"/>
  <c r="CQ9" i="8"/>
  <c r="CR9" i="8"/>
  <c r="CS9" i="8"/>
  <c r="CT9" i="8"/>
  <c r="CU9" i="8"/>
  <c r="CV9" i="8"/>
  <c r="CW9" i="8"/>
  <c r="CX9" i="8"/>
  <c r="CY9" i="8"/>
  <c r="CZ9" i="8"/>
  <c r="DA9" i="8"/>
  <c r="DB9" i="8"/>
  <c r="DC9" i="8"/>
  <c r="DD9" i="8"/>
  <c r="DE9" i="8"/>
  <c r="DF9" i="8"/>
  <c r="DG9" i="8"/>
  <c r="DH9" i="8"/>
  <c r="DI9" i="8"/>
  <c r="DJ9" i="8"/>
  <c r="DK9" i="8"/>
  <c r="DL9" i="8"/>
  <c r="DM9" i="8"/>
  <c r="DN9" i="8"/>
  <c r="DO9" i="8"/>
  <c r="DP9" i="8"/>
  <c r="DQ9" i="8"/>
  <c r="DR9" i="8"/>
  <c r="DS9" i="8"/>
  <c r="DT9" i="8"/>
  <c r="DU9" i="8"/>
  <c r="DV9" i="8"/>
  <c r="DW9" i="8"/>
  <c r="DX9" i="8"/>
  <c r="DY9" i="8"/>
  <c r="DZ9" i="8"/>
  <c r="EA9" i="8"/>
  <c r="EB9" i="8"/>
  <c r="EC9" i="8"/>
  <c r="ED9" i="8"/>
  <c r="EE9" i="8"/>
  <c r="EF9" i="8"/>
  <c r="EG9" i="8"/>
  <c r="EH9" i="8"/>
  <c r="EI9" i="8"/>
  <c r="EJ9" i="8"/>
  <c r="EK9" i="8"/>
  <c r="EL9" i="8"/>
  <c r="EM9" i="8"/>
  <c r="EN9" i="8"/>
  <c r="EO9" i="8"/>
  <c r="EP9" i="8"/>
  <c r="EQ9" i="8"/>
  <c r="ER9" i="8"/>
  <c r="ES9" i="8"/>
  <c r="ET9" i="8"/>
  <c r="EU9" i="8"/>
  <c r="EV9" i="8"/>
  <c r="EW9" i="8"/>
  <c r="EX9" i="8"/>
  <c r="EY9" i="8"/>
  <c r="EZ9" i="8"/>
  <c r="FA9" i="8"/>
  <c r="FB9" i="8"/>
  <c r="FC9" i="8"/>
  <c r="FD9" i="8"/>
  <c r="FE9" i="8"/>
  <c r="FF9" i="8"/>
  <c r="FG9" i="8"/>
  <c r="FH9" i="8"/>
  <c r="FI9" i="8"/>
  <c r="FJ9" i="8"/>
  <c r="FK9" i="8"/>
  <c r="FL9" i="8"/>
  <c r="FM9" i="8"/>
  <c r="FN9" i="8"/>
  <c r="FO9" i="8"/>
  <c r="FP9" i="8"/>
  <c r="FQ9" i="8"/>
  <c r="FR9" i="8"/>
  <c r="FS9" i="8"/>
  <c r="FT9" i="8"/>
  <c r="FU9" i="8"/>
  <c r="FV9" i="8"/>
  <c r="FW9" i="8"/>
  <c r="FX9" i="8"/>
  <c r="FY9" i="8"/>
  <c r="FZ9" i="8"/>
  <c r="GA9" i="8"/>
  <c r="GB9" i="8"/>
  <c r="GC9" i="8"/>
  <c r="GD9" i="8"/>
  <c r="GE9" i="8"/>
  <c r="GF9" i="8"/>
  <c r="GG9" i="8"/>
  <c r="GH9" i="8"/>
  <c r="GI9" i="8"/>
  <c r="GJ9" i="8"/>
  <c r="GK9" i="8"/>
  <c r="GL9" i="8"/>
  <c r="GM9" i="8"/>
  <c r="GN9" i="8"/>
  <c r="GO9" i="8"/>
  <c r="GP9" i="8"/>
  <c r="GQ9" i="8"/>
  <c r="GR9" i="8"/>
  <c r="GS9" i="8"/>
  <c r="GT9" i="8"/>
  <c r="GU9" i="8"/>
  <c r="GV9" i="8"/>
  <c r="GW9" i="8"/>
  <c r="GX9" i="8"/>
  <c r="GY9" i="8"/>
  <c r="GZ9" i="8"/>
  <c r="HA9" i="8"/>
  <c r="HB9" i="8"/>
  <c r="HC9" i="8"/>
  <c r="HD9" i="8"/>
  <c r="HE9" i="8"/>
  <c r="HF9" i="8"/>
  <c r="HG9" i="8"/>
  <c r="HH9" i="8"/>
  <c r="HI9" i="8"/>
  <c r="HJ9" i="8"/>
  <c r="HK9" i="8"/>
  <c r="HL9" i="8"/>
  <c r="HM9" i="8"/>
  <c r="HN9" i="8"/>
  <c r="HO9" i="8"/>
  <c r="HP9" i="8"/>
  <c r="HQ9" i="8"/>
  <c r="HR9" i="8"/>
  <c r="HS9" i="8"/>
  <c r="HT9" i="8"/>
  <c r="HU9" i="8"/>
  <c r="HV9" i="8"/>
  <c r="HW9" i="8"/>
  <c r="HX9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AJ10" i="8"/>
  <c r="AK10" i="8"/>
  <c r="AL10" i="8"/>
  <c r="AM10" i="8"/>
  <c r="AN10" i="8"/>
  <c r="AO10" i="8"/>
  <c r="AP10" i="8"/>
  <c r="AQ10" i="8"/>
  <c r="AR10" i="8"/>
  <c r="AS10" i="8"/>
  <c r="AT10" i="8"/>
  <c r="AU10" i="8"/>
  <c r="AV10" i="8"/>
  <c r="AW10" i="8"/>
  <c r="AX10" i="8"/>
  <c r="AY10" i="8"/>
  <c r="AZ10" i="8"/>
  <c r="BA10" i="8"/>
  <c r="BB10" i="8"/>
  <c r="BC10" i="8"/>
  <c r="BD10" i="8"/>
  <c r="BE10" i="8"/>
  <c r="BF10" i="8"/>
  <c r="BG10" i="8"/>
  <c r="BH10" i="8"/>
  <c r="BI10" i="8"/>
  <c r="BJ10" i="8"/>
  <c r="BK10" i="8"/>
  <c r="BL10" i="8"/>
  <c r="BM10" i="8"/>
  <c r="BN10" i="8"/>
  <c r="BO10" i="8"/>
  <c r="BP10" i="8"/>
  <c r="BQ10" i="8"/>
  <c r="BR10" i="8"/>
  <c r="BS10" i="8"/>
  <c r="BT10" i="8"/>
  <c r="BU10" i="8"/>
  <c r="BV10" i="8"/>
  <c r="BW10" i="8"/>
  <c r="BX10" i="8"/>
  <c r="BY10" i="8"/>
  <c r="BZ10" i="8"/>
  <c r="CA10" i="8"/>
  <c r="CB10" i="8"/>
  <c r="CC10" i="8"/>
  <c r="CD10" i="8"/>
  <c r="CE10" i="8"/>
  <c r="CF10" i="8"/>
  <c r="CG10" i="8"/>
  <c r="CH10" i="8"/>
  <c r="CI10" i="8"/>
  <c r="CJ10" i="8"/>
  <c r="CK10" i="8"/>
  <c r="CL10" i="8"/>
  <c r="CM10" i="8"/>
  <c r="CN10" i="8"/>
  <c r="CO10" i="8"/>
  <c r="CP10" i="8"/>
  <c r="CQ10" i="8"/>
  <c r="CR10" i="8"/>
  <c r="CS10" i="8"/>
  <c r="CT10" i="8"/>
  <c r="CU10" i="8"/>
  <c r="CV10" i="8"/>
  <c r="CW10" i="8"/>
  <c r="CX10" i="8"/>
  <c r="CY10" i="8"/>
  <c r="CZ10" i="8"/>
  <c r="DA10" i="8"/>
  <c r="DB10" i="8"/>
  <c r="DC10" i="8"/>
  <c r="DD10" i="8"/>
  <c r="DE10" i="8"/>
  <c r="DF10" i="8"/>
  <c r="DG10" i="8"/>
  <c r="DH10" i="8"/>
  <c r="DI10" i="8"/>
  <c r="DJ10" i="8"/>
  <c r="DK10" i="8"/>
  <c r="DL10" i="8"/>
  <c r="DM10" i="8"/>
  <c r="DN10" i="8"/>
  <c r="DO10" i="8"/>
  <c r="DP10" i="8"/>
  <c r="DQ10" i="8"/>
  <c r="DR10" i="8"/>
  <c r="DS10" i="8"/>
  <c r="DT10" i="8"/>
  <c r="DU10" i="8"/>
  <c r="DV10" i="8"/>
  <c r="DW10" i="8"/>
  <c r="DX10" i="8"/>
  <c r="DY10" i="8"/>
  <c r="DZ10" i="8"/>
  <c r="EA10" i="8"/>
  <c r="EB10" i="8"/>
  <c r="EC10" i="8"/>
  <c r="ED10" i="8"/>
  <c r="EE10" i="8"/>
  <c r="EF10" i="8"/>
  <c r="EG10" i="8"/>
  <c r="EH10" i="8"/>
  <c r="EI10" i="8"/>
  <c r="EJ10" i="8"/>
  <c r="EK10" i="8"/>
  <c r="EL10" i="8"/>
  <c r="EM10" i="8"/>
  <c r="EN10" i="8"/>
  <c r="EO10" i="8"/>
  <c r="EP10" i="8"/>
  <c r="EQ10" i="8"/>
  <c r="ER10" i="8"/>
  <c r="ES10" i="8"/>
  <c r="ET10" i="8"/>
  <c r="EU10" i="8"/>
  <c r="EV10" i="8"/>
  <c r="EW10" i="8"/>
  <c r="EX10" i="8"/>
  <c r="EY10" i="8"/>
  <c r="EZ10" i="8"/>
  <c r="FA10" i="8"/>
  <c r="FB10" i="8"/>
  <c r="FC10" i="8"/>
  <c r="FD10" i="8"/>
  <c r="FE10" i="8"/>
  <c r="FF10" i="8"/>
  <c r="FG10" i="8"/>
  <c r="FH10" i="8"/>
  <c r="FI10" i="8"/>
  <c r="FJ10" i="8"/>
  <c r="FK10" i="8"/>
  <c r="FL10" i="8"/>
  <c r="FM10" i="8"/>
  <c r="FN10" i="8"/>
  <c r="FO10" i="8"/>
  <c r="FP10" i="8"/>
  <c r="FQ10" i="8"/>
  <c r="FR10" i="8"/>
  <c r="FS10" i="8"/>
  <c r="FT10" i="8"/>
  <c r="FU10" i="8"/>
  <c r="FV10" i="8"/>
  <c r="FW10" i="8"/>
  <c r="FX10" i="8"/>
  <c r="FY10" i="8"/>
  <c r="FZ10" i="8"/>
  <c r="GA10" i="8"/>
  <c r="GB10" i="8"/>
  <c r="GC10" i="8"/>
  <c r="GD10" i="8"/>
  <c r="GE10" i="8"/>
  <c r="GF10" i="8"/>
  <c r="GG10" i="8"/>
  <c r="GH10" i="8"/>
  <c r="GI10" i="8"/>
  <c r="GJ10" i="8"/>
  <c r="GK10" i="8"/>
  <c r="GL10" i="8"/>
  <c r="GM10" i="8"/>
  <c r="GN10" i="8"/>
  <c r="GO10" i="8"/>
  <c r="GP10" i="8"/>
  <c r="GQ10" i="8"/>
  <c r="GR10" i="8"/>
  <c r="GS10" i="8"/>
  <c r="GT10" i="8"/>
  <c r="GU10" i="8"/>
  <c r="GV10" i="8"/>
  <c r="GW10" i="8"/>
  <c r="GX10" i="8"/>
  <c r="GY10" i="8"/>
  <c r="GZ10" i="8"/>
  <c r="HA10" i="8"/>
  <c r="HB10" i="8"/>
  <c r="HC10" i="8"/>
  <c r="HD10" i="8"/>
  <c r="HE10" i="8"/>
  <c r="HF10" i="8"/>
  <c r="HG10" i="8"/>
  <c r="HH10" i="8"/>
  <c r="HI10" i="8"/>
  <c r="HJ10" i="8"/>
  <c r="HK10" i="8"/>
  <c r="HL10" i="8"/>
  <c r="HM10" i="8"/>
  <c r="HN10" i="8"/>
  <c r="HO10" i="8"/>
  <c r="HP10" i="8"/>
  <c r="HQ10" i="8"/>
  <c r="HR10" i="8"/>
  <c r="HS10" i="8"/>
  <c r="HT10" i="8"/>
  <c r="HU10" i="8"/>
  <c r="HV10" i="8"/>
  <c r="HW10" i="8"/>
  <c r="HX10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AJ11" i="8"/>
  <c r="AK11" i="8"/>
  <c r="AL11" i="8"/>
  <c r="AM11" i="8"/>
  <c r="AN11" i="8"/>
  <c r="AO11" i="8"/>
  <c r="AP11" i="8"/>
  <c r="AQ11" i="8"/>
  <c r="AR11" i="8"/>
  <c r="AS11" i="8"/>
  <c r="AT11" i="8"/>
  <c r="AU11" i="8"/>
  <c r="AV11" i="8"/>
  <c r="AW11" i="8"/>
  <c r="AX11" i="8"/>
  <c r="AY11" i="8"/>
  <c r="AZ11" i="8"/>
  <c r="BA11" i="8"/>
  <c r="BB11" i="8"/>
  <c r="BC11" i="8"/>
  <c r="BD11" i="8"/>
  <c r="BE11" i="8"/>
  <c r="BF11" i="8"/>
  <c r="BG11" i="8"/>
  <c r="BH11" i="8"/>
  <c r="BI11" i="8"/>
  <c r="BJ11" i="8"/>
  <c r="BK11" i="8"/>
  <c r="BL11" i="8"/>
  <c r="BM11" i="8"/>
  <c r="BN11" i="8"/>
  <c r="BO11" i="8"/>
  <c r="BP11" i="8"/>
  <c r="BQ11" i="8"/>
  <c r="BR11" i="8"/>
  <c r="BS11" i="8"/>
  <c r="BT11" i="8"/>
  <c r="BU11" i="8"/>
  <c r="BV11" i="8"/>
  <c r="BW11" i="8"/>
  <c r="BX11" i="8"/>
  <c r="BY11" i="8"/>
  <c r="BZ11" i="8"/>
  <c r="CA11" i="8"/>
  <c r="CB11" i="8"/>
  <c r="CC11" i="8"/>
  <c r="CD11" i="8"/>
  <c r="CE11" i="8"/>
  <c r="CF11" i="8"/>
  <c r="CG11" i="8"/>
  <c r="CH11" i="8"/>
  <c r="CI11" i="8"/>
  <c r="CJ11" i="8"/>
  <c r="CK11" i="8"/>
  <c r="CL11" i="8"/>
  <c r="CM11" i="8"/>
  <c r="CN11" i="8"/>
  <c r="CO11" i="8"/>
  <c r="CP11" i="8"/>
  <c r="CQ11" i="8"/>
  <c r="CR11" i="8"/>
  <c r="CS11" i="8"/>
  <c r="CT11" i="8"/>
  <c r="CU11" i="8"/>
  <c r="CV11" i="8"/>
  <c r="CW11" i="8"/>
  <c r="CX11" i="8"/>
  <c r="CY11" i="8"/>
  <c r="CZ11" i="8"/>
  <c r="DA11" i="8"/>
  <c r="DB11" i="8"/>
  <c r="DC11" i="8"/>
  <c r="DD11" i="8"/>
  <c r="DE11" i="8"/>
  <c r="DF11" i="8"/>
  <c r="DG11" i="8"/>
  <c r="DH11" i="8"/>
  <c r="DI11" i="8"/>
  <c r="DJ11" i="8"/>
  <c r="DK11" i="8"/>
  <c r="DL11" i="8"/>
  <c r="DM11" i="8"/>
  <c r="DN11" i="8"/>
  <c r="DO11" i="8"/>
  <c r="DP11" i="8"/>
  <c r="DQ11" i="8"/>
  <c r="DR11" i="8"/>
  <c r="DS11" i="8"/>
  <c r="DT11" i="8"/>
  <c r="DU11" i="8"/>
  <c r="DV11" i="8"/>
  <c r="DW11" i="8"/>
  <c r="DX11" i="8"/>
  <c r="DY11" i="8"/>
  <c r="DZ11" i="8"/>
  <c r="EA11" i="8"/>
  <c r="EB11" i="8"/>
  <c r="EC11" i="8"/>
  <c r="ED11" i="8"/>
  <c r="EE11" i="8"/>
  <c r="EF11" i="8"/>
  <c r="EG11" i="8"/>
  <c r="EH11" i="8"/>
  <c r="EI11" i="8"/>
  <c r="EJ11" i="8"/>
  <c r="EK11" i="8"/>
  <c r="EL11" i="8"/>
  <c r="EM11" i="8"/>
  <c r="EN11" i="8"/>
  <c r="EO11" i="8"/>
  <c r="EP11" i="8"/>
  <c r="EQ11" i="8"/>
  <c r="ER11" i="8"/>
  <c r="ES11" i="8"/>
  <c r="ET11" i="8"/>
  <c r="EU11" i="8"/>
  <c r="EV11" i="8"/>
  <c r="EW11" i="8"/>
  <c r="EX11" i="8"/>
  <c r="EY11" i="8"/>
  <c r="EZ11" i="8"/>
  <c r="FA11" i="8"/>
  <c r="FB11" i="8"/>
  <c r="FC11" i="8"/>
  <c r="FD11" i="8"/>
  <c r="FE11" i="8"/>
  <c r="FF11" i="8"/>
  <c r="FG11" i="8"/>
  <c r="FH11" i="8"/>
  <c r="FI11" i="8"/>
  <c r="FJ11" i="8"/>
  <c r="FK11" i="8"/>
  <c r="FL11" i="8"/>
  <c r="FM11" i="8"/>
  <c r="FN11" i="8"/>
  <c r="FO11" i="8"/>
  <c r="FP11" i="8"/>
  <c r="FQ11" i="8"/>
  <c r="FR11" i="8"/>
  <c r="FS11" i="8"/>
  <c r="FT11" i="8"/>
  <c r="FU11" i="8"/>
  <c r="FV11" i="8"/>
  <c r="FW11" i="8"/>
  <c r="FX11" i="8"/>
  <c r="FY11" i="8"/>
  <c r="FZ11" i="8"/>
  <c r="GA11" i="8"/>
  <c r="GB11" i="8"/>
  <c r="GC11" i="8"/>
  <c r="GD11" i="8"/>
  <c r="GE11" i="8"/>
  <c r="GF11" i="8"/>
  <c r="GG11" i="8"/>
  <c r="GH11" i="8"/>
  <c r="GI11" i="8"/>
  <c r="GJ11" i="8"/>
  <c r="GK11" i="8"/>
  <c r="GL11" i="8"/>
  <c r="GM11" i="8"/>
  <c r="GN11" i="8"/>
  <c r="GO11" i="8"/>
  <c r="GP11" i="8"/>
  <c r="GQ11" i="8"/>
  <c r="GR11" i="8"/>
  <c r="GS11" i="8"/>
  <c r="GT11" i="8"/>
  <c r="GU11" i="8"/>
  <c r="GV11" i="8"/>
  <c r="GW11" i="8"/>
  <c r="GX11" i="8"/>
  <c r="GY11" i="8"/>
  <c r="GZ11" i="8"/>
  <c r="HA11" i="8"/>
  <c r="HB11" i="8"/>
  <c r="HC11" i="8"/>
  <c r="HD11" i="8"/>
  <c r="HE11" i="8"/>
  <c r="HF11" i="8"/>
  <c r="HG11" i="8"/>
  <c r="HH11" i="8"/>
  <c r="HI11" i="8"/>
  <c r="HJ11" i="8"/>
  <c r="HK11" i="8"/>
  <c r="HL11" i="8"/>
  <c r="HM11" i="8"/>
  <c r="HN11" i="8"/>
  <c r="HO11" i="8"/>
  <c r="HP11" i="8"/>
  <c r="HQ11" i="8"/>
  <c r="HR11" i="8"/>
  <c r="HS11" i="8"/>
  <c r="HT11" i="8"/>
  <c r="HU11" i="8"/>
  <c r="HV11" i="8"/>
  <c r="HW11" i="8"/>
  <c r="HX11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AJ12" i="8"/>
  <c r="AK12" i="8"/>
  <c r="AL12" i="8"/>
  <c r="AM12" i="8"/>
  <c r="AN12" i="8"/>
  <c r="AO12" i="8"/>
  <c r="AP12" i="8"/>
  <c r="AQ12" i="8"/>
  <c r="AR12" i="8"/>
  <c r="AS12" i="8"/>
  <c r="AT12" i="8"/>
  <c r="AU12" i="8"/>
  <c r="AV12" i="8"/>
  <c r="AW12" i="8"/>
  <c r="AX12" i="8"/>
  <c r="AY12" i="8"/>
  <c r="AZ12" i="8"/>
  <c r="BA12" i="8"/>
  <c r="BB12" i="8"/>
  <c r="BC12" i="8"/>
  <c r="BD12" i="8"/>
  <c r="BE12" i="8"/>
  <c r="BF12" i="8"/>
  <c r="BG12" i="8"/>
  <c r="BH12" i="8"/>
  <c r="BI12" i="8"/>
  <c r="BJ12" i="8"/>
  <c r="BK12" i="8"/>
  <c r="BL12" i="8"/>
  <c r="BM12" i="8"/>
  <c r="BN12" i="8"/>
  <c r="BO12" i="8"/>
  <c r="BP12" i="8"/>
  <c r="BQ12" i="8"/>
  <c r="BR12" i="8"/>
  <c r="BS12" i="8"/>
  <c r="BT12" i="8"/>
  <c r="BU12" i="8"/>
  <c r="BV12" i="8"/>
  <c r="BW12" i="8"/>
  <c r="BX12" i="8"/>
  <c r="BY12" i="8"/>
  <c r="BZ12" i="8"/>
  <c r="CA12" i="8"/>
  <c r="CB12" i="8"/>
  <c r="CC12" i="8"/>
  <c r="CD12" i="8"/>
  <c r="CE12" i="8"/>
  <c r="CF12" i="8"/>
  <c r="CG12" i="8"/>
  <c r="CH12" i="8"/>
  <c r="CI12" i="8"/>
  <c r="CJ12" i="8"/>
  <c r="CK12" i="8"/>
  <c r="CL12" i="8"/>
  <c r="CM12" i="8"/>
  <c r="CN12" i="8"/>
  <c r="CO12" i="8"/>
  <c r="CP12" i="8"/>
  <c r="CQ12" i="8"/>
  <c r="CR12" i="8"/>
  <c r="CS12" i="8"/>
  <c r="CT12" i="8"/>
  <c r="CU12" i="8"/>
  <c r="CV12" i="8"/>
  <c r="CW12" i="8"/>
  <c r="CX12" i="8"/>
  <c r="CY12" i="8"/>
  <c r="CZ12" i="8"/>
  <c r="DA12" i="8"/>
  <c r="DB12" i="8"/>
  <c r="DC12" i="8"/>
  <c r="DD12" i="8"/>
  <c r="DE12" i="8"/>
  <c r="DF12" i="8"/>
  <c r="DG12" i="8"/>
  <c r="DH12" i="8"/>
  <c r="DI12" i="8"/>
  <c r="DJ12" i="8"/>
  <c r="DK12" i="8"/>
  <c r="DL12" i="8"/>
  <c r="DM12" i="8"/>
  <c r="DN12" i="8"/>
  <c r="DO12" i="8"/>
  <c r="DP12" i="8"/>
  <c r="DQ12" i="8"/>
  <c r="DR12" i="8"/>
  <c r="DS12" i="8"/>
  <c r="DT12" i="8"/>
  <c r="DU12" i="8"/>
  <c r="DV12" i="8"/>
  <c r="DW12" i="8"/>
  <c r="DX12" i="8"/>
  <c r="DY12" i="8"/>
  <c r="DZ12" i="8"/>
  <c r="EA12" i="8"/>
  <c r="EB12" i="8"/>
  <c r="EC12" i="8"/>
  <c r="ED12" i="8"/>
  <c r="EE12" i="8"/>
  <c r="EF12" i="8"/>
  <c r="EG12" i="8"/>
  <c r="EH12" i="8"/>
  <c r="EI12" i="8"/>
  <c r="EJ12" i="8"/>
  <c r="EK12" i="8"/>
  <c r="EL12" i="8"/>
  <c r="EM12" i="8"/>
  <c r="EN12" i="8"/>
  <c r="EO12" i="8"/>
  <c r="EP12" i="8"/>
  <c r="EQ12" i="8"/>
  <c r="ER12" i="8"/>
  <c r="ES12" i="8"/>
  <c r="ET12" i="8"/>
  <c r="EU12" i="8"/>
  <c r="EV12" i="8"/>
  <c r="EW12" i="8"/>
  <c r="EX12" i="8"/>
  <c r="EY12" i="8"/>
  <c r="EZ12" i="8"/>
  <c r="FA12" i="8"/>
  <c r="FB12" i="8"/>
  <c r="FC12" i="8"/>
  <c r="FD12" i="8"/>
  <c r="FE12" i="8"/>
  <c r="FF12" i="8"/>
  <c r="FG12" i="8"/>
  <c r="FH12" i="8"/>
  <c r="FI12" i="8"/>
  <c r="FJ12" i="8"/>
  <c r="FK12" i="8"/>
  <c r="FL12" i="8"/>
  <c r="FM12" i="8"/>
  <c r="FN12" i="8"/>
  <c r="FO12" i="8"/>
  <c r="FP12" i="8"/>
  <c r="FQ12" i="8"/>
  <c r="FR12" i="8"/>
  <c r="FS12" i="8"/>
  <c r="FT12" i="8"/>
  <c r="FU12" i="8"/>
  <c r="FV12" i="8"/>
  <c r="FW12" i="8"/>
  <c r="FX12" i="8"/>
  <c r="FY12" i="8"/>
  <c r="FZ12" i="8"/>
  <c r="GA12" i="8"/>
  <c r="GB12" i="8"/>
  <c r="GC12" i="8"/>
  <c r="GD12" i="8"/>
  <c r="GE12" i="8"/>
  <c r="GF12" i="8"/>
  <c r="GG12" i="8"/>
  <c r="GH12" i="8"/>
  <c r="GI12" i="8"/>
  <c r="GJ12" i="8"/>
  <c r="GK12" i="8"/>
  <c r="GL12" i="8"/>
  <c r="GM12" i="8"/>
  <c r="GN12" i="8"/>
  <c r="GO12" i="8"/>
  <c r="GP12" i="8"/>
  <c r="GQ12" i="8"/>
  <c r="GR12" i="8"/>
  <c r="GS12" i="8"/>
  <c r="GT12" i="8"/>
  <c r="GU12" i="8"/>
  <c r="GV12" i="8"/>
  <c r="GW12" i="8"/>
  <c r="GX12" i="8"/>
  <c r="GY12" i="8"/>
  <c r="GZ12" i="8"/>
  <c r="HA12" i="8"/>
  <c r="HB12" i="8"/>
  <c r="HC12" i="8"/>
  <c r="HD12" i="8"/>
  <c r="HE12" i="8"/>
  <c r="HF12" i="8"/>
  <c r="HG12" i="8"/>
  <c r="HH12" i="8"/>
  <c r="HI12" i="8"/>
  <c r="HJ12" i="8"/>
  <c r="HK12" i="8"/>
  <c r="HL12" i="8"/>
  <c r="HM12" i="8"/>
  <c r="HN12" i="8"/>
  <c r="HO12" i="8"/>
  <c r="HP12" i="8"/>
  <c r="HQ12" i="8"/>
  <c r="HR12" i="8"/>
  <c r="HS12" i="8"/>
  <c r="HT12" i="8"/>
  <c r="HU12" i="8"/>
  <c r="HV12" i="8"/>
  <c r="HW12" i="8"/>
  <c r="HX12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AJ13" i="8"/>
  <c r="AK13" i="8"/>
  <c r="AL13" i="8"/>
  <c r="AM13" i="8"/>
  <c r="AN13" i="8"/>
  <c r="AO13" i="8"/>
  <c r="AP13" i="8"/>
  <c r="AQ13" i="8"/>
  <c r="AR13" i="8"/>
  <c r="AS13" i="8"/>
  <c r="AT13" i="8"/>
  <c r="AU13" i="8"/>
  <c r="AV13" i="8"/>
  <c r="AW13" i="8"/>
  <c r="AX13" i="8"/>
  <c r="AY13" i="8"/>
  <c r="AZ13" i="8"/>
  <c r="BA13" i="8"/>
  <c r="BB13" i="8"/>
  <c r="BC13" i="8"/>
  <c r="BD13" i="8"/>
  <c r="BE13" i="8"/>
  <c r="BF13" i="8"/>
  <c r="BG13" i="8"/>
  <c r="BH13" i="8"/>
  <c r="BI13" i="8"/>
  <c r="BJ13" i="8"/>
  <c r="BK13" i="8"/>
  <c r="BL13" i="8"/>
  <c r="BM13" i="8"/>
  <c r="BN13" i="8"/>
  <c r="BO13" i="8"/>
  <c r="BP13" i="8"/>
  <c r="BQ13" i="8"/>
  <c r="BR13" i="8"/>
  <c r="BS13" i="8"/>
  <c r="BT13" i="8"/>
  <c r="BU13" i="8"/>
  <c r="BV13" i="8"/>
  <c r="BW13" i="8"/>
  <c r="BX13" i="8"/>
  <c r="BY13" i="8"/>
  <c r="BZ13" i="8"/>
  <c r="CA13" i="8"/>
  <c r="CB13" i="8"/>
  <c r="CC13" i="8"/>
  <c r="CD13" i="8"/>
  <c r="CE13" i="8"/>
  <c r="CF13" i="8"/>
  <c r="CG13" i="8"/>
  <c r="CH13" i="8"/>
  <c r="CI13" i="8"/>
  <c r="CJ13" i="8"/>
  <c r="CK13" i="8"/>
  <c r="CL13" i="8"/>
  <c r="CM13" i="8"/>
  <c r="CN13" i="8"/>
  <c r="CO13" i="8"/>
  <c r="CP13" i="8"/>
  <c r="CQ13" i="8"/>
  <c r="CR13" i="8"/>
  <c r="CS13" i="8"/>
  <c r="CT13" i="8"/>
  <c r="CU13" i="8"/>
  <c r="CV13" i="8"/>
  <c r="CW13" i="8"/>
  <c r="CX13" i="8"/>
  <c r="CY13" i="8"/>
  <c r="CZ13" i="8"/>
  <c r="DA13" i="8"/>
  <c r="DB13" i="8"/>
  <c r="DC13" i="8"/>
  <c r="DD13" i="8"/>
  <c r="DE13" i="8"/>
  <c r="DF13" i="8"/>
  <c r="DG13" i="8"/>
  <c r="DH13" i="8"/>
  <c r="DI13" i="8"/>
  <c r="DJ13" i="8"/>
  <c r="DK13" i="8"/>
  <c r="DL13" i="8"/>
  <c r="DM13" i="8"/>
  <c r="DN13" i="8"/>
  <c r="DO13" i="8"/>
  <c r="DP13" i="8"/>
  <c r="DQ13" i="8"/>
  <c r="DR13" i="8"/>
  <c r="DS13" i="8"/>
  <c r="DT13" i="8"/>
  <c r="DU13" i="8"/>
  <c r="DV13" i="8"/>
  <c r="DW13" i="8"/>
  <c r="DX13" i="8"/>
  <c r="DY13" i="8"/>
  <c r="DZ13" i="8"/>
  <c r="EA13" i="8"/>
  <c r="EB13" i="8"/>
  <c r="EC13" i="8"/>
  <c r="ED13" i="8"/>
  <c r="EE13" i="8"/>
  <c r="EF13" i="8"/>
  <c r="EG13" i="8"/>
  <c r="EH13" i="8"/>
  <c r="EI13" i="8"/>
  <c r="EJ13" i="8"/>
  <c r="EK13" i="8"/>
  <c r="EL13" i="8"/>
  <c r="EM13" i="8"/>
  <c r="EN13" i="8"/>
  <c r="EO13" i="8"/>
  <c r="EP13" i="8"/>
  <c r="EQ13" i="8"/>
  <c r="ER13" i="8"/>
  <c r="ES13" i="8"/>
  <c r="ET13" i="8"/>
  <c r="EU13" i="8"/>
  <c r="EV13" i="8"/>
  <c r="EW13" i="8"/>
  <c r="EX13" i="8"/>
  <c r="EY13" i="8"/>
  <c r="EZ13" i="8"/>
  <c r="FA13" i="8"/>
  <c r="FB13" i="8"/>
  <c r="FC13" i="8"/>
  <c r="FD13" i="8"/>
  <c r="FE13" i="8"/>
  <c r="FF13" i="8"/>
  <c r="FG13" i="8"/>
  <c r="FH13" i="8"/>
  <c r="FI13" i="8"/>
  <c r="FJ13" i="8"/>
  <c r="FK13" i="8"/>
  <c r="FL13" i="8"/>
  <c r="FM13" i="8"/>
  <c r="FN13" i="8"/>
  <c r="FO13" i="8"/>
  <c r="FP13" i="8"/>
  <c r="FQ13" i="8"/>
  <c r="FR13" i="8"/>
  <c r="FS13" i="8"/>
  <c r="FT13" i="8"/>
  <c r="FU13" i="8"/>
  <c r="FV13" i="8"/>
  <c r="FW13" i="8"/>
  <c r="FX13" i="8"/>
  <c r="FY13" i="8"/>
  <c r="FZ13" i="8"/>
  <c r="GA13" i="8"/>
  <c r="GB13" i="8"/>
  <c r="GC13" i="8"/>
  <c r="GD13" i="8"/>
  <c r="GE13" i="8"/>
  <c r="GF13" i="8"/>
  <c r="GG13" i="8"/>
  <c r="GH13" i="8"/>
  <c r="GI13" i="8"/>
  <c r="GJ13" i="8"/>
  <c r="GK13" i="8"/>
  <c r="GL13" i="8"/>
  <c r="GM13" i="8"/>
  <c r="GN13" i="8"/>
  <c r="GO13" i="8"/>
  <c r="GP13" i="8"/>
  <c r="GQ13" i="8"/>
  <c r="GR13" i="8"/>
  <c r="GS13" i="8"/>
  <c r="GT13" i="8"/>
  <c r="GU13" i="8"/>
  <c r="GV13" i="8"/>
  <c r="GW13" i="8"/>
  <c r="GX13" i="8"/>
  <c r="GY13" i="8"/>
  <c r="GZ13" i="8"/>
  <c r="HA13" i="8"/>
  <c r="HB13" i="8"/>
  <c r="HC13" i="8"/>
  <c r="HD13" i="8"/>
  <c r="HE13" i="8"/>
  <c r="HF13" i="8"/>
  <c r="HG13" i="8"/>
  <c r="HH13" i="8"/>
  <c r="HI13" i="8"/>
  <c r="HJ13" i="8"/>
  <c r="HK13" i="8"/>
  <c r="HL13" i="8"/>
  <c r="HM13" i="8"/>
  <c r="HN13" i="8"/>
  <c r="HO13" i="8"/>
  <c r="HP13" i="8"/>
  <c r="HQ13" i="8"/>
  <c r="HR13" i="8"/>
  <c r="HS13" i="8"/>
  <c r="HT13" i="8"/>
  <c r="HU13" i="8"/>
  <c r="HV13" i="8"/>
  <c r="HW13" i="8"/>
  <c r="HX13" i="8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G13" i="8"/>
  <c r="G7" i="8"/>
  <c r="G6" i="8"/>
  <c r="G5" i="8"/>
  <c r="G8" i="8"/>
  <c r="G9" i="8"/>
  <c r="G10" i="8"/>
  <c r="G12" i="8"/>
  <c r="G11" i="8"/>
  <c r="G4" i="8"/>
  <c r="G3" i="8"/>
  <c r="C9" i="13" l="1"/>
  <c r="C9" i="14" s="1"/>
  <c r="B7" i="7"/>
  <c r="D10" i="13"/>
  <c r="B10" i="14"/>
  <c r="D10" i="14" s="1"/>
  <c r="B11" i="13"/>
  <c r="A7" i="12"/>
  <c r="F6" i="12"/>
  <c r="B9" i="12"/>
  <c r="G8" i="12"/>
  <c r="B8" i="10"/>
  <c r="G7" i="10"/>
  <c r="A7" i="10"/>
  <c r="F7" i="10" s="1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B10" i="12"/>
  <c r="G9" i="12"/>
  <c r="F7" i="12"/>
  <c r="A8" i="12"/>
  <c r="B9" i="10"/>
  <c r="G8" i="10"/>
  <c r="A8" i="10"/>
  <c r="F8" i="10" s="1"/>
  <c r="H1" i="8"/>
  <c r="I1" i="8" s="1"/>
  <c r="J1" i="8" s="1"/>
  <c r="K1" i="8" s="1"/>
  <c r="L1" i="8" s="1"/>
  <c r="M1" i="8" s="1"/>
  <c r="N1" i="8" s="1"/>
  <c r="O1" i="8" s="1"/>
  <c r="P1" i="8" s="1"/>
  <c r="Q1" i="8" s="1"/>
  <c r="R1" i="8" s="1"/>
  <c r="S1" i="8" s="1"/>
  <c r="T1" i="8" s="1"/>
  <c r="U1" i="8" s="1"/>
  <c r="V1" i="8" s="1"/>
  <c r="W1" i="8" s="1"/>
  <c r="X1" i="8" s="1"/>
  <c r="Y1" i="8" s="1"/>
  <c r="Z1" i="8" s="1"/>
  <c r="AA1" i="8" s="1"/>
  <c r="AB1" i="8" s="1"/>
  <c r="AC1" i="8" s="1"/>
  <c r="AD1" i="8" s="1"/>
  <c r="AE1" i="8" s="1"/>
  <c r="AF1" i="8" s="1"/>
  <c r="AG1" i="8" s="1"/>
  <c r="AH1" i="8" s="1"/>
  <c r="AI1" i="8" s="1"/>
  <c r="AJ1" i="8" s="1"/>
  <c r="AK1" i="8" s="1"/>
  <c r="AL1" i="8" s="1"/>
  <c r="AM1" i="8" s="1"/>
  <c r="AN1" i="8" s="1"/>
  <c r="AO1" i="8" s="1"/>
  <c r="AP1" i="8" s="1"/>
  <c r="AQ1" i="8" s="1"/>
  <c r="AR1" i="8" s="1"/>
  <c r="AS1" i="8" s="1"/>
  <c r="AT1" i="8" s="1"/>
  <c r="AU1" i="8" s="1"/>
  <c r="AV1" i="8" s="1"/>
  <c r="AW1" i="8" s="1"/>
  <c r="AX1" i="8" s="1"/>
  <c r="AY1" i="8" s="1"/>
  <c r="AZ1" i="8" s="1"/>
  <c r="BA1" i="8" s="1"/>
  <c r="BB1" i="8" s="1"/>
  <c r="BC1" i="8" s="1"/>
  <c r="BD1" i="8" s="1"/>
  <c r="BE1" i="8" s="1"/>
  <c r="BF1" i="8" s="1"/>
  <c r="BG1" i="8" s="1"/>
  <c r="BH1" i="8" s="1"/>
  <c r="BI1" i="8" s="1"/>
  <c r="BJ1" i="8" s="1"/>
  <c r="BK1" i="8" s="1"/>
  <c r="BL1" i="8" s="1"/>
  <c r="BM1" i="8" s="1"/>
  <c r="BN1" i="8" s="1"/>
  <c r="BO1" i="8" s="1"/>
  <c r="BP1" i="8" s="1"/>
  <c r="BQ1" i="8" s="1"/>
  <c r="BR1" i="8" s="1"/>
  <c r="BS1" i="8" s="1"/>
  <c r="BT1" i="8" s="1"/>
  <c r="BU1" i="8" s="1"/>
  <c r="BV1" i="8" s="1"/>
  <c r="BW1" i="8" s="1"/>
  <c r="BX1" i="8" s="1"/>
  <c r="BY1" i="8" s="1"/>
  <c r="BZ1" i="8" s="1"/>
  <c r="CA1" i="8" s="1"/>
  <c r="CB1" i="8" s="1"/>
  <c r="CC1" i="8" s="1"/>
  <c r="CD1" i="8" s="1"/>
  <c r="CE1" i="8" s="1"/>
  <c r="CF1" i="8" s="1"/>
  <c r="CG1" i="8" s="1"/>
  <c r="CH1" i="8" s="1"/>
  <c r="CI1" i="8" s="1"/>
  <c r="CJ1" i="8" s="1"/>
  <c r="CK1" i="8" s="1"/>
  <c r="CL1" i="8" s="1"/>
  <c r="CM1" i="8" s="1"/>
  <c r="CN1" i="8" s="1"/>
  <c r="CO1" i="8" s="1"/>
  <c r="CP1" i="8" s="1"/>
  <c r="CQ1" i="8" s="1"/>
  <c r="CR1" i="8" s="1"/>
  <c r="CS1" i="8" s="1"/>
  <c r="CT1" i="8" s="1"/>
  <c r="CU1" i="8" s="1"/>
  <c r="CV1" i="8" s="1"/>
  <c r="CW1" i="8" s="1"/>
  <c r="CX1" i="8" s="1"/>
  <c r="CY1" i="8" s="1"/>
  <c r="CZ1" i="8" s="1"/>
  <c r="DA1" i="8" s="1"/>
  <c r="DB1" i="8" s="1"/>
  <c r="DC1" i="8" s="1"/>
  <c r="DD1" i="8" s="1"/>
  <c r="DE1" i="8" s="1"/>
  <c r="DF1" i="8" s="1"/>
  <c r="DG1" i="8" s="1"/>
  <c r="DH1" i="8" s="1"/>
  <c r="DI1" i="8" s="1"/>
  <c r="DJ1" i="8" s="1"/>
  <c r="DK1" i="8" s="1"/>
  <c r="DL1" i="8" s="1"/>
  <c r="DM1" i="8" s="1"/>
  <c r="DN1" i="8" s="1"/>
  <c r="DO1" i="8" s="1"/>
  <c r="DP1" i="8" s="1"/>
  <c r="DQ1" i="8" s="1"/>
  <c r="DR1" i="8" s="1"/>
  <c r="DS1" i="8" s="1"/>
  <c r="DT1" i="8" s="1"/>
  <c r="DU1" i="8" s="1"/>
  <c r="DV1" i="8" s="1"/>
  <c r="DW1" i="8" s="1"/>
  <c r="DX1" i="8" s="1"/>
  <c r="DY1" i="8" s="1"/>
  <c r="DZ1" i="8" s="1"/>
  <c r="EA1" i="8" s="1"/>
  <c r="EB1" i="8" s="1"/>
  <c r="EC1" i="8" s="1"/>
  <c r="ED1" i="8" s="1"/>
  <c r="EE1" i="8" s="1"/>
  <c r="EF1" i="8" s="1"/>
  <c r="EG1" i="8" s="1"/>
  <c r="EH1" i="8" s="1"/>
  <c r="EI1" i="8" s="1"/>
  <c r="EJ1" i="8" s="1"/>
  <c r="EK1" i="8" s="1"/>
  <c r="EL1" i="8" s="1"/>
  <c r="EM1" i="8" s="1"/>
  <c r="EN1" i="8" s="1"/>
  <c r="EO1" i="8" s="1"/>
  <c r="EP1" i="8" s="1"/>
  <c r="EQ1" i="8" s="1"/>
  <c r="ER1" i="8" s="1"/>
  <c r="ES1" i="8" s="1"/>
  <c r="ET1" i="8" s="1"/>
  <c r="EU1" i="8" s="1"/>
  <c r="EV1" i="8" s="1"/>
  <c r="EW1" i="8" s="1"/>
  <c r="EX1" i="8" s="1"/>
  <c r="EY1" i="8" s="1"/>
  <c r="EZ1" i="8" s="1"/>
  <c r="FA1" i="8" s="1"/>
  <c r="FB1" i="8" s="1"/>
  <c r="FC1" i="8" s="1"/>
  <c r="FD1" i="8" s="1"/>
  <c r="FE1" i="8" s="1"/>
  <c r="FF1" i="8" s="1"/>
  <c r="FG1" i="8" s="1"/>
  <c r="FH1" i="8" s="1"/>
  <c r="FI1" i="8" s="1"/>
  <c r="FJ1" i="8" s="1"/>
  <c r="FK1" i="8" s="1"/>
  <c r="FL1" i="8" s="1"/>
  <c r="FM1" i="8" s="1"/>
  <c r="FN1" i="8" s="1"/>
  <c r="FO1" i="8" s="1"/>
  <c r="FP1" i="8" s="1"/>
  <c r="FQ1" i="8" s="1"/>
  <c r="FR1" i="8" s="1"/>
  <c r="FS1" i="8" s="1"/>
  <c r="FT1" i="8" s="1"/>
  <c r="FU1" i="8" s="1"/>
  <c r="FV1" i="8" s="1"/>
  <c r="FW1" i="8" s="1"/>
  <c r="FX1" i="8" s="1"/>
  <c r="FY1" i="8" s="1"/>
  <c r="FZ1" i="8" s="1"/>
  <c r="GA1" i="8" s="1"/>
  <c r="GB1" i="8" s="1"/>
  <c r="GC1" i="8" s="1"/>
  <c r="GD1" i="8" s="1"/>
  <c r="GE1" i="8" s="1"/>
  <c r="GF1" i="8" s="1"/>
  <c r="GG1" i="8" s="1"/>
  <c r="GH1" i="8" s="1"/>
  <c r="GI1" i="8" s="1"/>
  <c r="GJ1" i="8" s="1"/>
  <c r="GK1" i="8" s="1"/>
  <c r="GL1" i="8" s="1"/>
  <c r="GM1" i="8" s="1"/>
  <c r="GN1" i="8" s="1"/>
  <c r="GO1" i="8" s="1"/>
  <c r="GP1" i="8" s="1"/>
  <c r="GQ1" i="8" s="1"/>
  <c r="GR1" i="8" s="1"/>
  <c r="GS1" i="8" s="1"/>
  <c r="GT1" i="8" s="1"/>
  <c r="GU1" i="8" s="1"/>
  <c r="GV1" i="8" s="1"/>
  <c r="GW1" i="8" s="1"/>
  <c r="GX1" i="8" s="1"/>
  <c r="GY1" i="8" s="1"/>
  <c r="GZ1" i="8" s="1"/>
  <c r="HA1" i="8" s="1"/>
  <c r="HB1" i="8" s="1"/>
  <c r="HC1" i="8" s="1"/>
  <c r="HD1" i="8" s="1"/>
  <c r="HE1" i="8" s="1"/>
  <c r="HF1" i="8" s="1"/>
  <c r="HG1" i="8" s="1"/>
  <c r="HH1" i="8" s="1"/>
  <c r="HI1" i="8" s="1"/>
  <c r="HJ1" i="8" s="1"/>
  <c r="HK1" i="8" s="1"/>
  <c r="HL1" i="8" s="1"/>
  <c r="HM1" i="8" s="1"/>
  <c r="HN1" i="8" s="1"/>
  <c r="HO1" i="8" s="1"/>
  <c r="HP1" i="8" s="1"/>
  <c r="HQ1" i="8" s="1"/>
  <c r="HR1" i="8" s="1"/>
  <c r="HS1" i="8" s="1"/>
  <c r="HT1" i="8" s="1"/>
  <c r="HU1" i="8" s="1"/>
  <c r="HV1" i="8" s="1"/>
  <c r="HW1" i="8" s="1"/>
  <c r="HX1" i="8" s="1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A9" i="12"/>
  <c r="F8" i="12"/>
  <c r="G10" i="12"/>
  <c r="B11" i="12"/>
  <c r="B10" i="10"/>
  <c r="G9" i="10"/>
  <c r="A9" i="10"/>
  <c r="F9" i="10" s="1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H17" i="8"/>
  <c r="AO4" i="7" l="1"/>
  <c r="AP4" i="7"/>
  <c r="AS4" i="7"/>
  <c r="B10" i="7"/>
  <c r="C12" i="13"/>
  <c r="C12" i="14" s="1"/>
  <c r="D13" i="13"/>
  <c r="B13" i="14"/>
  <c r="D13" i="14" s="1"/>
  <c r="B14" i="13"/>
  <c r="B12" i="12"/>
  <c r="G11" i="12"/>
  <c r="A10" i="12"/>
  <c r="F9" i="12"/>
  <c r="B11" i="10"/>
  <c r="G10" i="10"/>
  <c r="A10" i="10"/>
  <c r="F10" i="10" s="1"/>
  <c r="I17" i="8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/>
  <c r="D14" i="13"/>
  <c r="B14" i="14"/>
  <c r="D14" i="14" s="1"/>
  <c r="B15" i="13"/>
  <c r="F10" i="12"/>
  <c r="A11" i="12"/>
  <c r="B13" i="12"/>
  <c r="G12" i="12"/>
  <c r="B12" i="10"/>
  <c r="G11" i="10"/>
  <c r="A11" i="10"/>
  <c r="F11" i="10" s="1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H18" i="8"/>
  <c r="I18" i="8" s="1"/>
  <c r="J18" i="8" s="1"/>
  <c r="K18" i="8" s="1"/>
  <c r="L18" i="8" s="1"/>
  <c r="M18" i="8" s="1"/>
  <c r="N18" i="8" s="1"/>
  <c r="O18" i="8" s="1"/>
  <c r="P18" i="8" s="1"/>
  <c r="Q18" i="8" s="1"/>
  <c r="R18" i="8" s="1"/>
  <c r="S18" i="8" s="1"/>
  <c r="T18" i="8" s="1"/>
  <c r="U18" i="8" s="1"/>
  <c r="V18" i="8" s="1"/>
  <c r="W18" i="8" s="1"/>
  <c r="X18" i="8" s="1"/>
  <c r="Y18" i="8" s="1"/>
  <c r="Z18" i="8" s="1"/>
  <c r="AA18" i="8" s="1"/>
  <c r="AB18" i="8" s="1"/>
  <c r="AC18" i="8" s="1"/>
  <c r="AD18" i="8" s="1"/>
  <c r="AE18" i="8" s="1"/>
  <c r="AF18" i="8" s="1"/>
  <c r="AG18" i="8" s="1"/>
  <c r="AH18" i="8" s="1"/>
  <c r="AI18" i="8" s="1"/>
  <c r="AJ18" i="8" s="1"/>
  <c r="AK18" i="8" s="1"/>
  <c r="AL18" i="8" s="1"/>
  <c r="AM18" i="8" s="1"/>
  <c r="AN18" i="8" s="1"/>
  <c r="AO18" i="8" s="1"/>
  <c r="AP18" i="8" s="1"/>
  <c r="AQ18" i="8" s="1"/>
  <c r="AR18" i="8" s="1"/>
  <c r="AS18" i="8" s="1"/>
  <c r="AT18" i="8" s="1"/>
  <c r="AU18" i="8" s="1"/>
  <c r="AV18" i="8" s="1"/>
  <c r="AW18" i="8" s="1"/>
  <c r="AX18" i="8" s="1"/>
  <c r="AY18" i="8" s="1"/>
  <c r="AZ18" i="8" s="1"/>
  <c r="BA18" i="8" s="1"/>
  <c r="BB18" i="8" s="1"/>
  <c r="BC18" i="8" s="1"/>
  <c r="BD18" i="8" s="1"/>
  <c r="BE18" i="8" s="1"/>
  <c r="BF18" i="8" s="1"/>
  <c r="BG18" i="8" s="1"/>
  <c r="BH18" i="8" s="1"/>
  <c r="BI18" i="8" s="1"/>
  <c r="BJ18" i="8" s="1"/>
  <c r="BK18" i="8" s="1"/>
  <c r="BL18" i="8" s="1"/>
  <c r="BM18" i="8" s="1"/>
  <c r="BN18" i="8" s="1"/>
  <c r="BO18" i="8" s="1"/>
  <c r="BP18" i="8" s="1"/>
  <c r="BQ18" i="8" s="1"/>
  <c r="BR18" i="8" s="1"/>
  <c r="BS18" i="8" s="1"/>
  <c r="BT18" i="8" s="1"/>
  <c r="BU18" i="8" s="1"/>
  <c r="BV18" i="8" s="1"/>
  <c r="BW18" i="8" s="1"/>
  <c r="BX18" i="8" s="1"/>
  <c r="BY18" i="8" s="1"/>
  <c r="BZ18" i="8" s="1"/>
  <c r="CA18" i="8" s="1"/>
  <c r="CB18" i="8" s="1"/>
  <c r="CC18" i="8" s="1"/>
  <c r="CD18" i="8" s="1"/>
  <c r="CE18" i="8" s="1"/>
  <c r="CF18" i="8" s="1"/>
  <c r="CG18" i="8" s="1"/>
  <c r="CH18" i="8" s="1"/>
  <c r="CI18" i="8" s="1"/>
  <c r="CJ18" i="8" s="1"/>
  <c r="CK18" i="8" s="1"/>
  <c r="CL18" i="8" s="1"/>
  <c r="CM18" i="8" s="1"/>
  <c r="CN18" i="8" s="1"/>
  <c r="CO18" i="8" s="1"/>
  <c r="CP18" i="8" s="1"/>
  <c r="CQ18" i="8" s="1"/>
  <c r="CR18" i="8" s="1"/>
  <c r="CS18" i="8" s="1"/>
  <c r="CT18" i="8" s="1"/>
  <c r="CU18" i="8" s="1"/>
  <c r="CV18" i="8" s="1"/>
  <c r="CW18" i="8" s="1"/>
  <c r="CX18" i="8" s="1"/>
  <c r="CY18" i="8" s="1"/>
  <c r="CZ18" i="8" s="1"/>
  <c r="DA18" i="8" s="1"/>
  <c r="DB18" i="8" s="1"/>
  <c r="DC18" i="8" s="1"/>
  <c r="DD18" i="8" s="1"/>
  <c r="DE18" i="8" s="1"/>
  <c r="DF18" i="8" s="1"/>
  <c r="DG18" i="8" s="1"/>
  <c r="DH18" i="8" s="1"/>
  <c r="DI18" i="8" s="1"/>
  <c r="DJ18" i="8" s="1"/>
  <c r="DK18" i="8" s="1"/>
  <c r="DL18" i="8" s="1"/>
  <c r="DM18" i="8" s="1"/>
  <c r="DN18" i="8" s="1"/>
  <c r="DO18" i="8" s="1"/>
  <c r="DP18" i="8" s="1"/>
  <c r="DQ18" i="8" s="1"/>
  <c r="DR18" i="8" s="1"/>
  <c r="DS18" i="8" s="1"/>
  <c r="DT18" i="8" s="1"/>
  <c r="DU18" i="8" s="1"/>
  <c r="DV18" i="8" s="1"/>
  <c r="DW18" i="8" s="1"/>
  <c r="DX18" i="8" s="1"/>
  <c r="DY18" i="8" s="1"/>
  <c r="DZ18" i="8" s="1"/>
  <c r="EA18" i="8" s="1"/>
  <c r="EB18" i="8" s="1"/>
  <c r="EC18" i="8" s="1"/>
  <c r="ED18" i="8" s="1"/>
  <c r="EE18" i="8" s="1"/>
  <c r="EF18" i="8" s="1"/>
  <c r="EG18" i="8" s="1"/>
  <c r="EH18" i="8" s="1"/>
  <c r="EI18" i="8" s="1"/>
  <c r="EJ18" i="8" s="1"/>
  <c r="EK18" i="8" s="1"/>
  <c r="EL18" i="8" s="1"/>
  <c r="EM18" i="8" s="1"/>
  <c r="EN18" i="8" s="1"/>
  <c r="EO18" i="8" s="1"/>
  <c r="EP18" i="8" s="1"/>
  <c r="EQ18" i="8" s="1"/>
  <c r="ER18" i="8" s="1"/>
  <c r="ES18" i="8" s="1"/>
  <c r="ET18" i="8" s="1"/>
  <c r="EU18" i="8" s="1"/>
  <c r="EV18" i="8" s="1"/>
  <c r="EW18" i="8" s="1"/>
  <c r="EX18" i="8" s="1"/>
  <c r="EY18" i="8" s="1"/>
  <c r="EZ18" i="8" s="1"/>
  <c r="FA18" i="8" s="1"/>
  <c r="FB18" i="8" s="1"/>
  <c r="FC18" i="8" s="1"/>
  <c r="FD18" i="8" s="1"/>
  <c r="FE18" i="8" s="1"/>
  <c r="FF18" i="8" s="1"/>
  <c r="FG18" i="8" s="1"/>
  <c r="FH18" i="8" s="1"/>
  <c r="FI18" i="8" s="1"/>
  <c r="FJ18" i="8" s="1"/>
  <c r="FK18" i="8" s="1"/>
  <c r="FL18" i="8" s="1"/>
  <c r="FM18" i="8" s="1"/>
  <c r="FN18" i="8" s="1"/>
  <c r="FO18" i="8" s="1"/>
  <c r="FP18" i="8" s="1"/>
  <c r="FQ18" i="8" s="1"/>
  <c r="FR18" i="8" s="1"/>
  <c r="FS18" i="8" s="1"/>
  <c r="FT18" i="8" s="1"/>
  <c r="FU18" i="8" s="1"/>
  <c r="FV18" i="8" s="1"/>
  <c r="FW18" i="8" s="1"/>
  <c r="FX18" i="8" s="1"/>
  <c r="FY18" i="8" s="1"/>
  <c r="FZ18" i="8" s="1"/>
  <c r="GA18" i="8" s="1"/>
  <c r="GB18" i="8" s="1"/>
  <c r="GC18" i="8" s="1"/>
  <c r="GD18" i="8" s="1"/>
  <c r="GE18" i="8" s="1"/>
  <c r="GF18" i="8" s="1"/>
  <c r="GG18" i="8" s="1"/>
  <c r="GH18" i="8" s="1"/>
  <c r="GI18" i="8" s="1"/>
  <c r="GJ18" i="8" s="1"/>
  <c r="GK18" i="8" s="1"/>
  <c r="GL18" i="8" s="1"/>
  <c r="GM18" i="8" s="1"/>
  <c r="GN18" i="8" s="1"/>
  <c r="GO18" i="8" s="1"/>
  <c r="GP18" i="8" s="1"/>
  <c r="GQ18" i="8" s="1"/>
  <c r="GR18" i="8" s="1"/>
  <c r="GS18" i="8" s="1"/>
  <c r="GT18" i="8" s="1"/>
  <c r="GU18" i="8" s="1"/>
  <c r="GV18" i="8" s="1"/>
  <c r="GW18" i="8" s="1"/>
  <c r="GX18" i="8" s="1"/>
  <c r="GY18" i="8" s="1"/>
  <c r="GZ18" i="8" s="1"/>
  <c r="HA18" i="8" s="1"/>
  <c r="HB18" i="8" s="1"/>
  <c r="HC18" i="8" s="1"/>
  <c r="HD18" i="8" s="1"/>
  <c r="HE18" i="8" s="1"/>
  <c r="HF18" i="8" s="1"/>
  <c r="HG18" i="8" s="1"/>
  <c r="HH18" i="8" s="1"/>
  <c r="HI18" i="8" s="1"/>
  <c r="HJ18" i="8" s="1"/>
  <c r="HK18" i="8" s="1"/>
  <c r="HL18" i="8" s="1"/>
  <c r="HM18" i="8" s="1"/>
  <c r="HN18" i="8" s="1"/>
  <c r="HO18" i="8" s="1"/>
  <c r="HP18" i="8" s="1"/>
  <c r="HQ18" i="8" s="1"/>
  <c r="HR18" i="8" s="1"/>
  <c r="HS18" i="8" s="1"/>
  <c r="HT18" i="8" s="1"/>
  <c r="HU18" i="8" s="1"/>
  <c r="HV18" i="8" s="1"/>
  <c r="HW18" i="8" s="1"/>
  <c r="HX18" i="8" s="1"/>
  <c r="J17" i="8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/>
  <c r="D15" i="13"/>
  <c r="B15" i="14"/>
  <c r="D15" i="14" s="1"/>
  <c r="B16" i="13"/>
  <c r="A12" i="12"/>
  <c r="F11" i="12"/>
  <c r="G13" i="12"/>
  <c r="B14" i="12"/>
  <c r="B13" i="10"/>
  <c r="G12" i="10"/>
  <c r="A12" i="10"/>
  <c r="F12" i="10" s="1"/>
  <c r="K17" i="8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/>
  <c r="D16" i="13"/>
  <c r="B16" i="14"/>
  <c r="D16" i="14" s="1"/>
  <c r="B17" i="13"/>
  <c r="A13" i="12"/>
  <c r="F12" i="12"/>
  <c r="B15" i="12"/>
  <c r="G14" i="12"/>
  <c r="B14" i="10"/>
  <c r="G13" i="10"/>
  <c r="A13" i="10"/>
  <c r="F13" i="10" s="1"/>
  <c r="L17" i="8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" i="1" a="1"/>
  <c r="Q5" i="1" s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 s="1"/>
  <c r="D17" i="13"/>
  <c r="B17" i="14"/>
  <c r="D17" i="14" s="1"/>
  <c r="B18" i="13"/>
  <c r="A14" i="12"/>
  <c r="F13" i="12"/>
  <c r="B16" i="12"/>
  <c r="G15" i="12"/>
  <c r="B15" i="10"/>
  <c r="G14" i="10"/>
  <c r="A14" i="10"/>
  <c r="F14" i="10" s="1"/>
  <c r="AQ4" i="7"/>
  <c r="AR4" i="7"/>
  <c r="M17" i="8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/>
  <c r="D18" i="13"/>
  <c r="B18" i="14"/>
  <c r="D18" i="14" s="1"/>
  <c r="B19" i="13"/>
  <c r="B17" i="12"/>
  <c r="G16" i="12"/>
  <c r="A15" i="12"/>
  <c r="F14" i="12"/>
  <c r="B16" i="10"/>
  <c r="G15" i="10"/>
  <c r="A15" i="10"/>
  <c r="F15" i="10" s="1"/>
  <c r="N17" i="8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/>
  <c r="D19" i="13"/>
  <c r="B19" i="14"/>
  <c r="D19" i="14" s="1"/>
  <c r="B20" i="13"/>
  <c r="F15" i="12"/>
  <c r="A16" i="12"/>
  <c r="B18" i="12"/>
  <c r="G17" i="12"/>
  <c r="B17" i="10"/>
  <c r="G16" i="10"/>
  <c r="A16" i="10"/>
  <c r="F16" i="10" s="1"/>
  <c r="O17" i="8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/>
  <c r="D20" i="13"/>
  <c r="B20" i="14"/>
  <c r="D20" i="14" s="1"/>
  <c r="B21" i="13"/>
  <c r="A17" i="12"/>
  <c r="F16" i="12"/>
  <c r="G18" i="12"/>
  <c r="B19" i="12"/>
  <c r="B18" i="10"/>
  <c r="G17" i="10"/>
  <c r="A17" i="10"/>
  <c r="F17" i="10" s="1"/>
  <c r="P17" i="8"/>
  <c r="D4" i="1"/>
  <c r="B18" i="7" l="1"/>
  <c r="C20" i="13"/>
  <c r="C20" i="14" s="1"/>
  <c r="D21" i="13"/>
  <c r="B21" i="14"/>
  <c r="D21" i="14" s="1"/>
  <c r="B22" i="13"/>
  <c r="B20" i="12"/>
  <c r="G19" i="12"/>
  <c r="A18" i="12"/>
  <c r="F17" i="12"/>
  <c r="B19" i="10"/>
  <c r="G18" i="10"/>
  <c r="A18" i="10"/>
  <c r="F18" i="10" s="1"/>
  <c r="Q17" i="8"/>
  <c r="B19" i="7" l="1"/>
  <c r="C21" i="13"/>
  <c r="C21" i="14" s="1"/>
  <c r="D22" i="13"/>
  <c r="B22" i="14"/>
  <c r="D22" i="14" s="1"/>
  <c r="B23" i="13"/>
  <c r="F18" i="12"/>
  <c r="A19" i="12"/>
  <c r="B21" i="12"/>
  <c r="G20" i="12"/>
  <c r="B20" i="10"/>
  <c r="G19" i="10"/>
  <c r="A19" i="10"/>
  <c r="F19" i="10" s="1"/>
  <c r="R17" i="8"/>
  <c r="B20" i="7" l="1"/>
  <c r="C22" i="13"/>
  <c r="C22" i="14" s="1"/>
  <c r="D23" i="13"/>
  <c r="B23" i="14"/>
  <c r="D23" i="14" s="1"/>
  <c r="B24" i="13"/>
  <c r="G21" i="12"/>
  <c r="B22" i="12"/>
  <c r="A20" i="12"/>
  <c r="F19" i="12"/>
  <c r="B21" i="10"/>
  <c r="G20" i="10"/>
  <c r="A20" i="10"/>
  <c r="F20" i="10" s="1"/>
  <c r="S17" i="8"/>
  <c r="B21" i="7" l="1"/>
  <c r="C23" i="13"/>
  <c r="C23" i="14" s="1"/>
  <c r="D24" i="13"/>
  <c r="B24" i="14"/>
  <c r="D24" i="14" s="1"/>
  <c r="B25" i="13"/>
  <c r="A21" i="12"/>
  <c r="F20" i="12"/>
  <c r="B23" i="12"/>
  <c r="G22" i="12"/>
  <c r="B22" i="10"/>
  <c r="G21" i="10"/>
  <c r="A21" i="10"/>
  <c r="F21" i="10" s="1"/>
  <c r="T17" i="8"/>
  <c r="B22" i="7" l="1"/>
  <c r="C24" i="13"/>
  <c r="C24" i="14" s="1"/>
  <c r="D25" i="13"/>
  <c r="B25" i="14"/>
  <c r="D25" i="14" s="1"/>
  <c r="B26" i="13"/>
  <c r="B24" i="12"/>
  <c r="G23" i="12"/>
  <c r="A22" i="12"/>
  <c r="F21" i="12"/>
  <c r="B23" i="10"/>
  <c r="G22" i="10"/>
  <c r="A22" i="10"/>
  <c r="F22" i="10" s="1"/>
  <c r="U17" i="8"/>
  <c r="B23" i="7" l="1"/>
  <c r="C25" i="13"/>
  <c r="C25" i="14" s="1"/>
  <c r="D26" i="13"/>
  <c r="B26" i="14"/>
  <c r="D26" i="14" s="1"/>
  <c r="B27" i="13"/>
  <c r="A23" i="12"/>
  <c r="F22" i="12"/>
  <c r="B25" i="12"/>
  <c r="G24" i="12"/>
  <c r="B24" i="10"/>
  <c r="G23" i="10"/>
  <c r="A23" i="10"/>
  <c r="F23" i="10" s="1"/>
  <c r="V17" i="8"/>
  <c r="B24" i="7" l="1"/>
  <c r="C26" i="13"/>
  <c r="C26" i="14"/>
  <c r="D27" i="13"/>
  <c r="B27" i="14"/>
  <c r="D27" i="14" s="1"/>
  <c r="B28" i="13"/>
  <c r="F23" i="12"/>
  <c r="A24" i="12"/>
  <c r="B26" i="12"/>
  <c r="G25" i="12"/>
  <c r="B25" i="10"/>
  <c r="G24" i="10"/>
  <c r="A24" i="10"/>
  <c r="F24" i="10" s="1"/>
  <c r="W17" i="8"/>
  <c r="B25" i="7" l="1"/>
  <c r="C27" i="13"/>
  <c r="C27" i="14" s="1"/>
  <c r="D28" i="13"/>
  <c r="B28" i="14"/>
  <c r="D28" i="14" s="1"/>
  <c r="B29" i="13"/>
  <c r="G26" i="12"/>
  <c r="B27" i="12"/>
  <c r="A25" i="12"/>
  <c r="F24" i="12"/>
  <c r="B26" i="10"/>
  <c r="G25" i="10"/>
  <c r="A25" i="10"/>
  <c r="F25" i="10" s="1"/>
  <c r="X17" i="8"/>
  <c r="B26" i="7" l="1"/>
  <c r="C28" i="13"/>
  <c r="C28" i="14"/>
  <c r="D29" i="13"/>
  <c r="B29" i="14"/>
  <c r="D29" i="14" s="1"/>
  <c r="B30" i="13"/>
  <c r="F25" i="12"/>
  <c r="A26" i="12"/>
  <c r="B28" i="12"/>
  <c r="G27" i="12"/>
  <c r="B27" i="10"/>
  <c r="G26" i="10"/>
  <c r="A26" i="10"/>
  <c r="F26" i="10" s="1"/>
  <c r="Y17" i="8"/>
  <c r="B27" i="7" l="1"/>
  <c r="C29" i="13"/>
  <c r="C29" i="14"/>
  <c r="D30" i="13"/>
  <c r="B30" i="14"/>
  <c r="D30" i="14" s="1"/>
  <c r="B31" i="13"/>
  <c r="B29" i="12"/>
  <c r="G28" i="12"/>
  <c r="F26" i="12"/>
  <c r="A27" i="12"/>
  <c r="B28" i="10"/>
  <c r="G27" i="10"/>
  <c r="A27" i="10"/>
  <c r="F27" i="10" s="1"/>
  <c r="Z17" i="8"/>
  <c r="B28" i="7" l="1"/>
  <c r="C30" i="13"/>
  <c r="C30" i="14" s="1"/>
  <c r="D31" i="13"/>
  <c r="B31" i="14"/>
  <c r="D31" i="14" s="1"/>
  <c r="B32" i="13"/>
  <c r="A28" i="12"/>
  <c r="F27" i="12"/>
  <c r="G29" i="12"/>
  <c r="B30" i="12"/>
  <c r="B29" i="10"/>
  <c r="G28" i="10"/>
  <c r="A28" i="10"/>
  <c r="F28" i="10" s="1"/>
  <c r="AA17" i="8"/>
  <c r="B29" i="7" l="1"/>
  <c r="C31" i="13"/>
  <c r="C31" i="14" s="1"/>
  <c r="D32" i="13"/>
  <c r="B32" i="14"/>
  <c r="D32" i="14" s="1"/>
  <c r="B33" i="13"/>
  <c r="B31" i="12"/>
  <c r="G30" i="12"/>
  <c r="A29" i="12"/>
  <c r="F28" i="12"/>
  <c r="B30" i="10"/>
  <c r="G29" i="10"/>
  <c r="A29" i="10"/>
  <c r="F29" i="10" s="1"/>
  <c r="AB17" i="8"/>
  <c r="B30" i="7" l="1"/>
  <c r="C32" i="13"/>
  <c r="C32" i="14"/>
  <c r="D33" i="13"/>
  <c r="B33" i="14"/>
  <c r="D33" i="14" s="1"/>
  <c r="B34" i="13"/>
  <c r="A30" i="12"/>
  <c r="F29" i="12"/>
  <c r="B32" i="12"/>
  <c r="G31" i="12"/>
  <c r="B31" i="10"/>
  <c r="G30" i="10"/>
  <c r="A30" i="10"/>
  <c r="F30" i="10" s="1"/>
  <c r="AC17" i="8"/>
  <c r="B31" i="7" l="1"/>
  <c r="C33" i="13"/>
  <c r="C33" i="14" s="1"/>
  <c r="D34" i="13"/>
  <c r="B34" i="14"/>
  <c r="D34" i="14" s="1"/>
  <c r="B35" i="13"/>
  <c r="B33" i="12"/>
  <c r="G32" i="12"/>
  <c r="A31" i="12"/>
  <c r="F30" i="12"/>
  <c r="B32" i="10"/>
  <c r="G31" i="10"/>
  <c r="A31" i="10"/>
  <c r="F31" i="10" s="1"/>
  <c r="AD17" i="8"/>
  <c r="B32" i="7" l="1"/>
  <c r="C34" i="13"/>
  <c r="C34" i="14" s="1"/>
  <c r="D35" i="13"/>
  <c r="B35" i="14"/>
  <c r="D35" i="14" s="1"/>
  <c r="B36" i="13"/>
  <c r="F31" i="12"/>
  <c r="A32" i="12"/>
  <c r="B34" i="12"/>
  <c r="G33" i="12"/>
  <c r="B33" i="10"/>
  <c r="G32" i="10"/>
  <c r="A32" i="10"/>
  <c r="F32" i="10" s="1"/>
  <c r="AE17" i="8"/>
  <c r="B33" i="7" l="1"/>
  <c r="C35" i="13"/>
  <c r="C35" i="14" s="1"/>
  <c r="D36" i="13"/>
  <c r="B36" i="14"/>
  <c r="D36" i="14" s="1"/>
  <c r="B37" i="13"/>
  <c r="A33" i="12"/>
  <c r="F32" i="12"/>
  <c r="G34" i="12"/>
  <c r="B35" i="12"/>
  <c r="B34" i="10"/>
  <c r="G33" i="10"/>
  <c r="A33" i="10"/>
  <c r="F33" i="10" s="1"/>
  <c r="AF17" i="8"/>
  <c r="B34" i="7" l="1"/>
  <c r="C36" i="13"/>
  <c r="C36" i="14" s="1"/>
  <c r="D37" i="13"/>
  <c r="B37" i="14"/>
  <c r="D37" i="14" s="1"/>
  <c r="B38" i="13"/>
  <c r="F33" i="12"/>
  <c r="A34" i="12"/>
  <c r="B36" i="12"/>
  <c r="G35" i="12"/>
  <c r="B35" i="10"/>
  <c r="G34" i="10"/>
  <c r="A34" i="10"/>
  <c r="F34" i="10" s="1"/>
  <c r="AG17" i="8"/>
  <c r="B35" i="7" l="1"/>
  <c r="C37" i="13"/>
  <c r="C37" i="14"/>
  <c r="D38" i="13"/>
  <c r="B38" i="14"/>
  <c r="D38" i="14" s="1"/>
  <c r="B39" i="13"/>
  <c r="G36" i="12"/>
  <c r="B37" i="12"/>
  <c r="F34" i="12"/>
  <c r="A35" i="12"/>
  <c r="B36" i="10"/>
  <c r="G35" i="10"/>
  <c r="A35" i="10"/>
  <c r="F35" i="10" s="1"/>
  <c r="AH17" i="8"/>
  <c r="B36" i="7" l="1"/>
  <c r="C38" i="13"/>
  <c r="C38" i="14"/>
  <c r="D39" i="13"/>
  <c r="B39" i="14"/>
  <c r="D39" i="14" s="1"/>
  <c r="B40" i="13"/>
  <c r="A36" i="12"/>
  <c r="F35" i="12"/>
  <c r="G37" i="12"/>
  <c r="B38" i="12"/>
  <c r="B37" i="10"/>
  <c r="G36" i="10"/>
  <c r="A36" i="10"/>
  <c r="F36" i="10" s="1"/>
  <c r="AI17" i="8"/>
  <c r="B37" i="7" l="1"/>
  <c r="C39" i="13"/>
  <c r="C39" i="14" s="1"/>
  <c r="D40" i="13"/>
  <c r="B40" i="14"/>
  <c r="D40" i="14" s="1"/>
  <c r="B41" i="13"/>
  <c r="B39" i="12"/>
  <c r="G38" i="12"/>
  <c r="A37" i="12"/>
  <c r="F36" i="12"/>
  <c r="B38" i="10"/>
  <c r="G37" i="10"/>
  <c r="A37" i="10"/>
  <c r="F37" i="10" s="1"/>
  <c r="AJ17" i="8"/>
  <c r="B38" i="7" l="1"/>
  <c r="C40" i="13"/>
  <c r="C40" i="14" s="1"/>
  <c r="D41" i="13"/>
  <c r="B41" i="14"/>
  <c r="D41" i="14" s="1"/>
  <c r="B42" i="13"/>
  <c r="B40" i="12"/>
  <c r="G39" i="12"/>
  <c r="A38" i="12"/>
  <c r="F37" i="12"/>
  <c r="B39" i="10"/>
  <c r="G38" i="10"/>
  <c r="A38" i="10"/>
  <c r="F38" i="10" s="1"/>
  <c r="AK17" i="8"/>
  <c r="B39" i="7" l="1"/>
  <c r="C41" i="13"/>
  <c r="C41" i="14"/>
  <c r="D42" i="13"/>
  <c r="B42" i="14"/>
  <c r="D42" i="14" s="1"/>
  <c r="B43" i="13"/>
  <c r="A39" i="12"/>
  <c r="F38" i="12"/>
  <c r="B41" i="12"/>
  <c r="G40" i="12"/>
  <c r="B40" i="10"/>
  <c r="G39" i="10"/>
  <c r="A39" i="10"/>
  <c r="F39" i="10" s="1"/>
  <c r="AL17" i="8"/>
  <c r="B40" i="7" l="1"/>
  <c r="C42" i="13"/>
  <c r="C42" i="14" s="1"/>
  <c r="D43" i="13"/>
  <c r="B43" i="14"/>
  <c r="D43" i="14" s="1"/>
  <c r="B44" i="13"/>
  <c r="F39" i="12"/>
  <c r="A40" i="12"/>
  <c r="B42" i="12"/>
  <c r="G41" i="12"/>
  <c r="B41" i="10"/>
  <c r="G40" i="10"/>
  <c r="A40" i="10"/>
  <c r="F40" i="10" s="1"/>
  <c r="AM17" i="8"/>
  <c r="B41" i="7" l="1"/>
  <c r="C43" i="13"/>
  <c r="C43" i="14" s="1"/>
  <c r="D44" i="13"/>
  <c r="B44" i="14"/>
  <c r="D44" i="14" s="1"/>
  <c r="B45" i="13"/>
  <c r="G42" i="12"/>
  <c r="B43" i="12"/>
  <c r="A41" i="12"/>
  <c r="F40" i="12"/>
  <c r="B42" i="10"/>
  <c r="G41" i="10"/>
  <c r="A41" i="10"/>
  <c r="F41" i="10" s="1"/>
  <c r="AN17" i="8"/>
  <c r="B42" i="7" l="1"/>
  <c r="C44" i="13"/>
  <c r="C44" i="14" s="1"/>
  <c r="D45" i="13"/>
  <c r="B45" i="14"/>
  <c r="D45" i="14" s="1"/>
  <c r="B46" i="13"/>
  <c r="A42" i="12"/>
  <c r="F41" i="12"/>
  <c r="B44" i="12"/>
  <c r="G43" i="12"/>
  <c r="B43" i="10"/>
  <c r="G42" i="10"/>
  <c r="A42" i="10"/>
  <c r="F42" i="10" s="1"/>
  <c r="AO17" i="8"/>
  <c r="B43" i="7" l="1"/>
  <c r="C45" i="13"/>
  <c r="C45" i="14" s="1"/>
  <c r="D46" i="13"/>
  <c r="B46" i="14"/>
  <c r="D46" i="14" s="1"/>
  <c r="B47" i="13"/>
  <c r="B45" i="12"/>
  <c r="G44" i="12"/>
  <c r="F42" i="12"/>
  <c r="A43" i="12"/>
  <c r="B44" i="10"/>
  <c r="G43" i="10"/>
  <c r="A43" i="10"/>
  <c r="F43" i="10" s="1"/>
  <c r="AP17" i="8"/>
  <c r="B44" i="7" l="1"/>
  <c r="C46" i="13"/>
  <c r="C46" i="14" s="1"/>
  <c r="D47" i="13"/>
  <c r="B47" i="14"/>
  <c r="D47" i="14" s="1"/>
  <c r="B48" i="13"/>
  <c r="A44" i="12"/>
  <c r="F43" i="12"/>
  <c r="G45" i="12"/>
  <c r="B46" i="12"/>
  <c r="B45" i="10"/>
  <c r="G44" i="10"/>
  <c r="A44" i="10"/>
  <c r="F44" i="10" s="1"/>
  <c r="AQ17" i="8"/>
  <c r="B45" i="7" l="1"/>
  <c r="C47" i="13"/>
  <c r="C47" i="14" s="1"/>
  <c r="D48" i="13"/>
  <c r="B48" i="14"/>
  <c r="D48" i="14" s="1"/>
  <c r="B49" i="13"/>
  <c r="A45" i="12"/>
  <c r="F44" i="12"/>
  <c r="B47" i="12"/>
  <c r="G46" i="12"/>
  <c r="B46" i="10"/>
  <c r="G45" i="10"/>
  <c r="A45" i="10"/>
  <c r="F45" i="10" s="1"/>
  <c r="AR17" i="8"/>
  <c r="B46" i="7" l="1"/>
  <c r="C48" i="13"/>
  <c r="C48" i="14"/>
  <c r="D49" i="13"/>
  <c r="B49" i="14"/>
  <c r="D49" i="14" s="1"/>
  <c r="B50" i="13"/>
  <c r="B48" i="12"/>
  <c r="G47" i="12"/>
  <c r="A46" i="12"/>
  <c r="F45" i="12"/>
  <c r="B47" i="10"/>
  <c r="G46" i="10"/>
  <c r="A46" i="10"/>
  <c r="F46" i="10" s="1"/>
  <c r="AS17" i="8"/>
  <c r="B47" i="7" l="1"/>
  <c r="C49" i="13"/>
  <c r="C49" i="14"/>
  <c r="D50" i="13"/>
  <c r="B50" i="14"/>
  <c r="D50" i="14" s="1"/>
  <c r="B51" i="13"/>
  <c r="A47" i="12"/>
  <c r="F46" i="12"/>
  <c r="B49" i="12"/>
  <c r="G48" i="12"/>
  <c r="B48" i="10"/>
  <c r="G47" i="10"/>
  <c r="A47" i="10"/>
  <c r="F47" i="10" s="1"/>
  <c r="AT17" i="8"/>
  <c r="B48" i="7" l="1"/>
  <c r="C50" i="13"/>
  <c r="C50" i="14"/>
  <c r="D51" i="13"/>
  <c r="B51" i="14"/>
  <c r="D51" i="14" s="1"/>
  <c r="B52" i="13"/>
  <c r="B50" i="12"/>
  <c r="G50" i="12" s="1"/>
  <c r="G49" i="12"/>
  <c r="F47" i="12"/>
  <c r="A48" i="12"/>
  <c r="B49" i="10"/>
  <c r="G48" i="10"/>
  <c r="A48" i="10"/>
  <c r="F48" i="10" s="1"/>
  <c r="AU17" i="8"/>
  <c r="B49" i="7" l="1"/>
  <c r="C51" i="13"/>
  <c r="C51" i="14" s="1"/>
  <c r="D52" i="13"/>
  <c r="B52" i="14"/>
  <c r="D52" i="14" s="1"/>
  <c r="B53" i="13"/>
  <c r="A49" i="12"/>
  <c r="F48" i="12"/>
  <c r="B50" i="10"/>
  <c r="G50" i="10" s="1"/>
  <c r="G49" i="10"/>
  <c r="A49" i="10"/>
  <c r="F49" i="10" s="1"/>
  <c r="AV17" i="8"/>
  <c r="B50" i="7" l="1"/>
  <c r="C52" i="13"/>
  <c r="C52" i="14" s="1"/>
  <c r="D53" i="13"/>
  <c r="B53" i="14"/>
  <c r="D53" i="14" s="1"/>
  <c r="B54" i="13"/>
  <c r="A50" i="12"/>
  <c r="F50" i="12" s="1"/>
  <c r="F49" i="12"/>
  <c r="A50" i="10"/>
  <c r="F50" i="10" s="1"/>
  <c r="AW17" i="8"/>
  <c r="B51" i="7" l="1"/>
  <c r="C53" i="13"/>
  <c r="C53" i="14" s="1"/>
  <c r="D54" i="13"/>
  <c r="B54" i="14"/>
  <c r="D54" i="14" s="1"/>
  <c r="B55" i="13"/>
  <c r="AX17" i="8"/>
  <c r="B52" i="7" l="1"/>
  <c r="C54" i="13"/>
  <c r="C54" i="14"/>
  <c r="D55" i="13"/>
  <c r="B55" i="14"/>
  <c r="D55" i="14" s="1"/>
  <c r="B56" i="13"/>
  <c r="AY17" i="8"/>
  <c r="B53" i="7" l="1"/>
  <c r="C55" i="13"/>
  <c r="C55" i="14"/>
  <c r="D56" i="13"/>
  <c r="B56" i="14"/>
  <c r="D56" i="14" s="1"/>
  <c r="B57" i="13"/>
  <c r="AZ17" i="8"/>
  <c r="B54" i="7" l="1"/>
  <c r="C56" i="13"/>
  <c r="C56" i="14"/>
  <c r="D57" i="13"/>
  <c r="B57" i="14"/>
  <c r="D57" i="14" s="1"/>
  <c r="B58" i="13"/>
  <c r="BA17" i="8"/>
  <c r="B55" i="7" l="1"/>
  <c r="C57" i="13"/>
  <c r="C57" i="14" s="1"/>
  <c r="D58" i="13"/>
  <c r="B58" i="14"/>
  <c r="D58" i="14" s="1"/>
  <c r="B59" i="13"/>
  <c r="BB17" i="8"/>
  <c r="B56" i="7" l="1"/>
  <c r="C58" i="13"/>
  <c r="C58" i="14"/>
  <c r="D59" i="13"/>
  <c r="B59" i="14"/>
  <c r="D59" i="14" s="1"/>
  <c r="B60" i="13"/>
  <c r="BC17" i="8"/>
  <c r="B57" i="7" l="1"/>
  <c r="C59" i="13"/>
  <c r="C59" i="14" s="1"/>
  <c r="D60" i="13"/>
  <c r="B60" i="14"/>
  <c r="D60" i="14" s="1"/>
  <c r="B61" i="13"/>
  <c r="BD17" i="8"/>
  <c r="B58" i="7" l="1"/>
  <c r="C60" i="13"/>
  <c r="C60" i="14" s="1"/>
  <c r="D61" i="13"/>
  <c r="B61" i="14"/>
  <c r="D61" i="14" s="1"/>
  <c r="B62" i="13"/>
  <c r="BE17" i="8"/>
  <c r="B59" i="7" l="1"/>
  <c r="C61" i="13"/>
  <c r="C61" i="14"/>
  <c r="D62" i="13"/>
  <c r="B62" i="14"/>
  <c r="D62" i="14" s="1"/>
  <c r="B63" i="13"/>
  <c r="BF17" i="8"/>
  <c r="B60" i="7" l="1"/>
  <c r="C62" i="13"/>
  <c r="C62" i="14"/>
  <c r="D63" i="13"/>
  <c r="B63" i="14"/>
  <c r="D63" i="14" s="1"/>
  <c r="B64" i="13"/>
  <c r="BG17" i="8"/>
  <c r="B61" i="7" l="1"/>
  <c r="C63" i="13"/>
  <c r="C63" i="14"/>
  <c r="D64" i="13"/>
  <c r="B64" i="14"/>
  <c r="D64" i="14" s="1"/>
  <c r="B65" i="13"/>
  <c r="BH17" i="8"/>
  <c r="B62" i="7" l="1"/>
  <c r="C64" i="13"/>
  <c r="C64" i="14"/>
  <c r="D65" i="13"/>
  <c r="B65" i="14"/>
  <c r="D65" i="14" s="1"/>
  <c r="B66" i="13"/>
  <c r="BI17" i="8"/>
  <c r="B63" i="7" l="1"/>
  <c r="C65" i="13"/>
  <c r="C65" i="14"/>
  <c r="D66" i="13"/>
  <c r="B66" i="14"/>
  <c r="D66" i="14" s="1"/>
  <c r="B67" i="13"/>
  <c r="BJ17" i="8"/>
  <c r="B64" i="7" l="1"/>
  <c r="C66" i="13"/>
  <c r="C66" i="14"/>
  <c r="D67" i="13"/>
  <c r="B67" i="14"/>
  <c r="D67" i="14" s="1"/>
  <c r="B68" i="13"/>
  <c r="BK17" i="8"/>
  <c r="B65" i="7" l="1"/>
  <c r="C67" i="13"/>
  <c r="C67" i="14"/>
  <c r="D68" i="13"/>
  <c r="B68" i="14"/>
  <c r="D68" i="14" s="1"/>
  <c r="B69" i="13"/>
  <c r="BL17" i="8"/>
  <c r="B66" i="7" l="1"/>
  <c r="C68" i="13"/>
  <c r="C68" i="14"/>
  <c r="D69" i="13"/>
  <c r="B69" i="14"/>
  <c r="D69" i="14" s="1"/>
  <c r="B70" i="13"/>
  <c r="BM17" i="8"/>
  <c r="B67" i="7" l="1"/>
  <c r="C69" i="13"/>
  <c r="C69" i="14"/>
  <c r="D70" i="13"/>
  <c r="B70" i="14"/>
  <c r="D70" i="14" s="1"/>
  <c r="B71" i="13"/>
  <c r="BN17" i="8"/>
  <c r="B68" i="7" l="1"/>
  <c r="C70" i="13"/>
  <c r="C70" i="14" s="1"/>
  <c r="D71" i="13"/>
  <c r="B71" i="14"/>
  <c r="D71" i="14" s="1"/>
  <c r="B72" i="13"/>
  <c r="BO17" i="8"/>
  <c r="B69" i="7" l="1"/>
  <c r="C71" i="13"/>
  <c r="C71" i="14"/>
  <c r="D72" i="13"/>
  <c r="B72" i="14"/>
  <c r="D72" i="14" s="1"/>
  <c r="B73" i="13"/>
  <c r="BP17" i="8"/>
  <c r="B70" i="7" l="1"/>
  <c r="C72" i="13"/>
  <c r="C72" i="14"/>
  <c r="D73" i="13"/>
  <c r="B73" i="14"/>
  <c r="D73" i="14" s="1"/>
  <c r="B74" i="13"/>
  <c r="BQ17" i="8"/>
  <c r="B71" i="7" l="1"/>
  <c r="C73" i="13"/>
  <c r="C73" i="14" s="1"/>
  <c r="D74" i="13"/>
  <c r="B74" i="14"/>
  <c r="D74" i="14" s="1"/>
  <c r="B75" i="13"/>
  <c r="BR17" i="8"/>
  <c r="B72" i="7" l="1"/>
  <c r="C74" i="13"/>
  <c r="C74" i="14" s="1"/>
  <c r="D75" i="13"/>
  <c r="B75" i="14"/>
  <c r="D75" i="14" s="1"/>
  <c r="B76" i="13"/>
  <c r="BS17" i="8"/>
  <c r="B73" i="7" l="1"/>
  <c r="C75" i="13"/>
  <c r="C75" i="14"/>
  <c r="D76" i="13"/>
  <c r="B76" i="14"/>
  <c r="D76" i="14" s="1"/>
  <c r="B77" i="13"/>
  <c r="BT17" i="8"/>
  <c r="B74" i="7" l="1"/>
  <c r="C76" i="13"/>
  <c r="C76" i="14"/>
  <c r="D77" i="13"/>
  <c r="B77" i="14"/>
  <c r="D77" i="14" s="1"/>
  <c r="B78" i="13"/>
  <c r="BU17" i="8"/>
  <c r="B75" i="7" l="1"/>
  <c r="C77" i="13"/>
  <c r="C77" i="14" s="1"/>
  <c r="D78" i="13"/>
  <c r="B78" i="14"/>
  <c r="D78" i="14" s="1"/>
  <c r="B79" i="13"/>
  <c r="BV17" i="8"/>
  <c r="B76" i="7" l="1"/>
  <c r="C78" i="13"/>
  <c r="C78" i="14"/>
  <c r="D79" i="13"/>
  <c r="B79" i="14"/>
  <c r="D79" i="14" s="1"/>
  <c r="B80" i="13"/>
  <c r="BW17" i="8"/>
  <c r="B77" i="7" l="1"/>
  <c r="C79" i="13"/>
  <c r="C79" i="14"/>
  <c r="D80" i="13"/>
  <c r="B80" i="14"/>
  <c r="D80" i="14" s="1"/>
  <c r="B81" i="13"/>
  <c r="BX17" i="8"/>
  <c r="B78" i="7" l="1"/>
  <c r="C80" i="13"/>
  <c r="C80" i="14"/>
  <c r="D81" i="13"/>
  <c r="B81" i="14"/>
  <c r="D81" i="14" s="1"/>
  <c r="B82" i="13"/>
  <c r="BY17" i="8"/>
  <c r="B79" i="7" l="1"/>
  <c r="C81" i="13"/>
  <c r="C81" i="14" s="1"/>
  <c r="D82" i="13"/>
  <c r="B82" i="14"/>
  <c r="D82" i="14" s="1"/>
  <c r="B83" i="13"/>
  <c r="BZ17" i="8"/>
  <c r="B80" i="7" l="1"/>
  <c r="C82" i="13"/>
  <c r="C82" i="14"/>
  <c r="D83" i="13"/>
  <c r="B83" i="14"/>
  <c r="D83" i="14" s="1"/>
  <c r="B84" i="13"/>
  <c r="CA17" i="8"/>
  <c r="B81" i="7" l="1"/>
  <c r="C83" i="13"/>
  <c r="C83" i="14" s="1"/>
  <c r="D84" i="13"/>
  <c r="B84" i="14"/>
  <c r="D84" i="14" s="1"/>
  <c r="B85" i="13"/>
  <c r="CB17" i="8"/>
  <c r="B82" i="7" l="1"/>
  <c r="C84" i="13"/>
  <c r="C84" i="14" s="1"/>
  <c r="D85" i="13"/>
  <c r="B85" i="14"/>
  <c r="D85" i="14" s="1"/>
  <c r="B86" i="13"/>
  <c r="CC17" i="8"/>
  <c r="B83" i="7" l="1"/>
  <c r="C85" i="13"/>
  <c r="C85" i="14" s="1"/>
  <c r="D86" i="13"/>
  <c r="B86" i="14"/>
  <c r="D86" i="14" s="1"/>
  <c r="B87" i="13"/>
  <c r="CD17" i="8"/>
  <c r="B84" i="7" l="1"/>
  <c r="C86" i="13"/>
  <c r="C86" i="14" s="1"/>
  <c r="D87" i="13"/>
  <c r="B87" i="14"/>
  <c r="D87" i="14" s="1"/>
  <c r="B88" i="13"/>
  <c r="CE17" i="8"/>
  <c r="B85" i="7" l="1"/>
  <c r="C87" i="13"/>
  <c r="C87" i="14"/>
  <c r="D88" i="13"/>
  <c r="B88" i="14"/>
  <c r="D88" i="14" s="1"/>
  <c r="B89" i="13"/>
  <c r="CF17" i="8"/>
  <c r="B86" i="7" l="1"/>
  <c r="C88" i="13"/>
  <c r="C88" i="14" s="1"/>
  <c r="D89" i="13"/>
  <c r="B89" i="14"/>
  <c r="D89" i="14" s="1"/>
  <c r="B90" i="13"/>
  <c r="CG17" i="8"/>
  <c r="B87" i="7" l="1"/>
  <c r="C89" i="13"/>
  <c r="C89" i="14" s="1"/>
  <c r="D90" i="13"/>
  <c r="B90" i="14"/>
  <c r="D90" i="14" s="1"/>
  <c r="B91" i="13"/>
  <c r="CH17" i="8"/>
  <c r="B88" i="7" l="1"/>
  <c r="C90" i="13"/>
  <c r="C90" i="14" s="1"/>
  <c r="D91" i="13"/>
  <c r="B91" i="14"/>
  <c r="D91" i="14" s="1"/>
  <c r="B92" i="13"/>
  <c r="CI17" i="8"/>
  <c r="B89" i="7" l="1"/>
  <c r="C91" i="13"/>
  <c r="C91" i="14" s="1"/>
  <c r="D92" i="13"/>
  <c r="B92" i="14"/>
  <c r="D92" i="14" s="1"/>
  <c r="B93" i="13"/>
  <c r="CJ17" i="8"/>
  <c r="B90" i="7" l="1"/>
  <c r="C92" i="13"/>
  <c r="C92" i="14"/>
  <c r="D93" i="13"/>
  <c r="B93" i="14"/>
  <c r="D93" i="14" s="1"/>
  <c r="B94" i="13"/>
  <c r="CK17" i="8"/>
  <c r="B91" i="7" l="1"/>
  <c r="C93" i="13"/>
  <c r="C93" i="14" s="1"/>
  <c r="D94" i="13"/>
  <c r="B94" i="14"/>
  <c r="D94" i="14" s="1"/>
  <c r="B95" i="13"/>
  <c r="CL17" i="8"/>
  <c r="B92" i="7" l="1"/>
  <c r="C94" i="13"/>
  <c r="C94" i="14" s="1"/>
  <c r="D95" i="13"/>
  <c r="B95" i="14"/>
  <c r="D95" i="14" s="1"/>
  <c r="B96" i="13"/>
  <c r="CM17" i="8"/>
  <c r="B93" i="7" l="1"/>
  <c r="C95" i="13"/>
  <c r="C95" i="14"/>
  <c r="D96" i="13"/>
  <c r="B96" i="14"/>
  <c r="D96" i="14" s="1"/>
  <c r="B97" i="13"/>
  <c r="CN17" i="8"/>
  <c r="B94" i="7" l="1"/>
  <c r="C96" i="13"/>
  <c r="C96" i="14" s="1"/>
  <c r="D97" i="13"/>
  <c r="B97" i="14"/>
  <c r="D97" i="14" s="1"/>
  <c r="B98" i="13"/>
  <c r="CO17" i="8"/>
  <c r="B95" i="7" l="1"/>
  <c r="C97" i="13"/>
  <c r="C97" i="14"/>
  <c r="D98" i="13"/>
  <c r="B98" i="14"/>
  <c r="D98" i="14" s="1"/>
  <c r="B99" i="13"/>
  <c r="CP17" i="8"/>
  <c r="B96" i="7" l="1"/>
  <c r="C98" i="13"/>
  <c r="C98" i="14" s="1"/>
  <c r="D99" i="13"/>
  <c r="B99" i="14"/>
  <c r="D99" i="14" s="1"/>
  <c r="B100" i="13"/>
  <c r="CQ17" i="8"/>
  <c r="B97" i="7" l="1"/>
  <c r="C99" i="13"/>
  <c r="C99" i="14"/>
  <c r="D100" i="13"/>
  <c r="B100" i="14"/>
  <c r="D100" i="14" s="1"/>
  <c r="B101" i="13"/>
  <c r="CR17" i="8"/>
  <c r="B98" i="7" l="1"/>
  <c r="C100" i="13"/>
  <c r="C100" i="14" s="1"/>
  <c r="D101" i="13"/>
  <c r="B101" i="14"/>
  <c r="D101" i="14" s="1"/>
  <c r="B102" i="13"/>
  <c r="CS17" i="8"/>
  <c r="B99" i="7" l="1"/>
  <c r="C101" i="13"/>
  <c r="C101" i="14" s="1"/>
  <c r="D102" i="13"/>
  <c r="B102" i="14"/>
  <c r="D102" i="14" s="1"/>
  <c r="B103" i="13"/>
  <c r="CT17" i="8"/>
  <c r="B100" i="7" l="1"/>
  <c r="C102" i="13"/>
  <c r="C102" i="14"/>
  <c r="D103" i="13"/>
  <c r="B103" i="14"/>
  <c r="D103" i="14" s="1"/>
  <c r="B104" i="13"/>
  <c r="CU17" i="8"/>
  <c r="B101" i="7" l="1"/>
  <c r="C103" i="13"/>
  <c r="C103" i="14"/>
  <c r="D104" i="13"/>
  <c r="B104" i="14"/>
  <c r="D104" i="14" s="1"/>
  <c r="B105" i="13"/>
  <c r="CV17" i="8"/>
  <c r="B102" i="7" l="1"/>
  <c r="C104" i="13"/>
  <c r="C104" i="14" s="1"/>
  <c r="D105" i="13"/>
  <c r="B105" i="14"/>
  <c r="D105" i="14" s="1"/>
  <c r="B106" i="13"/>
  <c r="CW17" i="8"/>
  <c r="B103" i="7" l="1"/>
  <c r="C105" i="13"/>
  <c r="C105" i="14" s="1"/>
  <c r="D106" i="13"/>
  <c r="B106" i="14"/>
  <c r="D106" i="14" s="1"/>
  <c r="B107" i="13"/>
  <c r="CX17" i="8"/>
  <c r="B104" i="7" l="1"/>
  <c r="C106" i="13"/>
  <c r="C106" i="14"/>
  <c r="D107" i="13"/>
  <c r="B107" i="14"/>
  <c r="D107" i="14" s="1"/>
  <c r="B108" i="13"/>
  <c r="CY17" i="8"/>
  <c r="B105" i="7" l="1"/>
  <c r="C107" i="13"/>
  <c r="C107" i="14" s="1"/>
  <c r="D108" i="13"/>
  <c r="B108" i="14"/>
  <c r="D108" i="14" s="1"/>
  <c r="B109" i="13"/>
  <c r="CZ17" i="8"/>
  <c r="B106" i="7" l="1"/>
  <c r="C108" i="13"/>
  <c r="C108" i="14"/>
  <c r="D109" i="13"/>
  <c r="B109" i="14"/>
  <c r="D109" i="14" s="1"/>
  <c r="B110" i="13"/>
  <c r="DA17" i="8"/>
  <c r="B107" i="7" l="1"/>
  <c r="C109" i="13"/>
  <c r="C109" i="14" s="1"/>
  <c r="D110" i="13"/>
  <c r="B110" i="14"/>
  <c r="D110" i="14" s="1"/>
  <c r="B111" i="13"/>
  <c r="DB17" i="8"/>
  <c r="B108" i="7" l="1"/>
  <c r="C110" i="13"/>
  <c r="C110" i="14"/>
  <c r="D111" i="13"/>
  <c r="B111" i="14"/>
  <c r="D111" i="14" s="1"/>
  <c r="B112" i="13"/>
  <c r="DC17" i="8"/>
  <c r="B109" i="7" l="1"/>
  <c r="C111" i="13"/>
  <c r="C111" i="14" s="1"/>
  <c r="D112" i="13"/>
  <c r="B112" i="14"/>
  <c r="D112" i="14" s="1"/>
  <c r="B113" i="13"/>
  <c r="DD17" i="8"/>
  <c r="B110" i="7" l="1"/>
  <c r="C112" i="13"/>
  <c r="C112" i="14" s="1"/>
  <c r="D113" i="13"/>
  <c r="B113" i="14"/>
  <c r="D113" i="14" s="1"/>
  <c r="B114" i="13"/>
  <c r="DE17" i="8"/>
  <c r="B111" i="7" l="1"/>
  <c r="C113" i="13"/>
  <c r="C113" i="14"/>
  <c r="D114" i="13"/>
  <c r="B114" i="14"/>
  <c r="D114" i="14" s="1"/>
  <c r="B115" i="13"/>
  <c r="DF17" i="8"/>
  <c r="B112" i="7" l="1"/>
  <c r="C114" i="13"/>
  <c r="C114" i="14" s="1"/>
  <c r="D115" i="13"/>
  <c r="B115" i="14"/>
  <c r="D115" i="14" s="1"/>
  <c r="B116" i="13"/>
  <c r="DG17" i="8"/>
  <c r="B113" i="7" l="1"/>
  <c r="C115" i="13"/>
  <c r="C115" i="14"/>
  <c r="D116" i="13"/>
  <c r="B116" i="14"/>
  <c r="D116" i="14" s="1"/>
  <c r="B117" i="13"/>
  <c r="DH17" i="8"/>
  <c r="B114" i="7" l="1"/>
  <c r="C116" i="13"/>
  <c r="C116" i="14" s="1"/>
  <c r="D117" i="13"/>
  <c r="B117" i="14"/>
  <c r="D117" i="14" s="1"/>
  <c r="B118" i="13"/>
  <c r="DI17" i="8"/>
  <c r="B115" i="7" l="1"/>
  <c r="C117" i="13"/>
  <c r="C117" i="14" s="1"/>
  <c r="D118" i="13"/>
  <c r="B118" i="14"/>
  <c r="D118" i="14" s="1"/>
  <c r="B119" i="13"/>
  <c r="DJ17" i="8"/>
  <c r="B116" i="7" l="1"/>
  <c r="C118" i="13"/>
  <c r="C118" i="14" s="1"/>
  <c r="D119" i="13"/>
  <c r="B119" i="14"/>
  <c r="D119" i="14" s="1"/>
  <c r="B120" i="13"/>
  <c r="DK17" i="8"/>
  <c r="B117" i="7" l="1"/>
  <c r="C119" i="13"/>
  <c r="C119" i="14" s="1"/>
  <c r="D120" i="13"/>
  <c r="B120" i="14"/>
  <c r="D120" i="14" s="1"/>
  <c r="B121" i="13"/>
  <c r="DL17" i="8"/>
  <c r="B118" i="7" l="1"/>
  <c r="C120" i="13"/>
  <c r="C120" i="14"/>
  <c r="D121" i="13"/>
  <c r="B121" i="14"/>
  <c r="D121" i="14" s="1"/>
  <c r="B122" i="13"/>
  <c r="DM17" i="8"/>
  <c r="B119" i="7" l="1"/>
  <c r="C121" i="13"/>
  <c r="C121" i="14"/>
  <c r="D122" i="13"/>
  <c r="B122" i="14"/>
  <c r="D122" i="14" s="1"/>
  <c r="B123" i="13"/>
  <c r="DN17" i="8"/>
  <c r="B120" i="7" l="1"/>
  <c r="C122" i="13"/>
  <c r="C122" i="14"/>
  <c r="D123" i="13"/>
  <c r="B123" i="14"/>
  <c r="D123" i="14" s="1"/>
  <c r="B124" i="13"/>
  <c r="DO17" i="8"/>
  <c r="B121" i="7" l="1"/>
  <c r="C123" i="13"/>
  <c r="C123" i="14"/>
  <c r="D124" i="13"/>
  <c r="B124" i="14"/>
  <c r="D124" i="14" s="1"/>
  <c r="B125" i="13"/>
  <c r="DP17" i="8"/>
  <c r="B122" i="7" l="1"/>
  <c r="C124" i="13"/>
  <c r="C124" i="14" s="1"/>
  <c r="D125" i="13"/>
  <c r="B125" i="14"/>
  <c r="D125" i="14" s="1"/>
  <c r="B126" i="13"/>
  <c r="DQ17" i="8"/>
  <c r="B123" i="7" l="1"/>
  <c r="C125" i="13"/>
  <c r="C125" i="14"/>
  <c r="D126" i="13"/>
  <c r="B126" i="14"/>
  <c r="D126" i="14" s="1"/>
  <c r="B127" i="13"/>
  <c r="DR17" i="8"/>
  <c r="B124" i="7" l="1"/>
  <c r="C126" i="13"/>
  <c r="C126" i="14"/>
  <c r="D127" i="13"/>
  <c r="B127" i="14"/>
  <c r="D127" i="14" s="1"/>
  <c r="B128" i="13"/>
  <c r="DS17" i="8"/>
  <c r="B125" i="7" l="1"/>
  <c r="C127" i="13"/>
  <c r="C127" i="14" s="1"/>
  <c r="D128" i="13"/>
  <c r="B128" i="14"/>
  <c r="D128" i="14" s="1"/>
  <c r="B129" i="13"/>
  <c r="DT17" i="8"/>
  <c r="B126" i="7" l="1"/>
  <c r="C128" i="13"/>
  <c r="C128" i="14" s="1"/>
  <c r="D129" i="13"/>
  <c r="B129" i="14"/>
  <c r="D129" i="14" s="1"/>
  <c r="B130" i="13"/>
  <c r="DU17" i="8"/>
  <c r="B127" i="7" l="1"/>
  <c r="C129" i="13"/>
  <c r="C129" i="14" s="1"/>
  <c r="D130" i="13"/>
  <c r="B130" i="14"/>
  <c r="D130" i="14" s="1"/>
  <c r="B131" i="13"/>
  <c r="DV17" i="8"/>
  <c r="B128" i="7" l="1"/>
  <c r="C130" i="13"/>
  <c r="C130" i="14" s="1"/>
  <c r="D131" i="13"/>
  <c r="B131" i="14"/>
  <c r="D131" i="14" s="1"/>
  <c r="B132" i="13"/>
  <c r="DW17" i="8"/>
  <c r="B129" i="7" l="1"/>
  <c r="C131" i="13"/>
  <c r="C131" i="14" s="1"/>
  <c r="D132" i="13"/>
  <c r="B132" i="14"/>
  <c r="D132" i="14" s="1"/>
  <c r="B133" i="13"/>
  <c r="DX17" i="8"/>
  <c r="B130" i="7" l="1"/>
  <c r="C132" i="13"/>
  <c r="C132" i="14"/>
  <c r="D133" i="13"/>
  <c r="B133" i="14"/>
  <c r="D133" i="14" s="1"/>
  <c r="B134" i="13"/>
  <c r="DY17" i="8"/>
  <c r="B131" i="7" l="1"/>
  <c r="C133" i="13"/>
  <c r="C133" i="14"/>
  <c r="D134" i="13"/>
  <c r="B134" i="14"/>
  <c r="D134" i="14" s="1"/>
  <c r="B135" i="13"/>
  <c r="DZ17" i="8"/>
  <c r="B132" i="7" l="1"/>
  <c r="C134" i="13"/>
  <c r="C134" i="14"/>
  <c r="D135" i="13"/>
  <c r="B135" i="14"/>
  <c r="D135" i="14" s="1"/>
  <c r="B136" i="13"/>
  <c r="EA17" i="8"/>
  <c r="B133" i="7" l="1"/>
  <c r="C135" i="13"/>
  <c r="C135" i="14" s="1"/>
  <c r="D136" i="13"/>
  <c r="B136" i="14"/>
  <c r="D136" i="14" s="1"/>
  <c r="B137" i="13"/>
  <c r="EB17" i="8"/>
  <c r="B134" i="7" l="1"/>
  <c r="C136" i="13"/>
  <c r="C136" i="14"/>
  <c r="D137" i="13"/>
  <c r="B137" i="14"/>
  <c r="D137" i="14" s="1"/>
  <c r="B138" i="13"/>
  <c r="EC17" i="8"/>
  <c r="B135" i="7" l="1"/>
  <c r="C137" i="13"/>
  <c r="C137" i="14" s="1"/>
  <c r="D138" i="13"/>
  <c r="B138" i="14"/>
  <c r="D138" i="14" s="1"/>
  <c r="B139" i="13"/>
  <c r="ED17" i="8"/>
  <c r="B136" i="7" l="1"/>
  <c r="C138" i="13"/>
  <c r="C138" i="14"/>
  <c r="D139" i="13"/>
  <c r="B139" i="14"/>
  <c r="D139" i="14" s="1"/>
  <c r="B140" i="13"/>
  <c r="EE17" i="8"/>
  <c r="B137" i="7" l="1"/>
  <c r="C139" i="13"/>
  <c r="C139" i="14" s="1"/>
  <c r="D140" i="13"/>
  <c r="B140" i="14"/>
  <c r="D140" i="14" s="1"/>
  <c r="B141" i="13"/>
  <c r="EF17" i="8"/>
  <c r="B138" i="7" l="1"/>
  <c r="C140" i="13"/>
  <c r="C140" i="14"/>
  <c r="D141" i="13"/>
  <c r="B141" i="14"/>
  <c r="D141" i="14" s="1"/>
  <c r="B142" i="13"/>
  <c r="EG17" i="8"/>
  <c r="B139" i="7" l="1"/>
  <c r="C141" i="13"/>
  <c r="C141" i="14"/>
  <c r="D142" i="13"/>
  <c r="B142" i="14"/>
  <c r="D142" i="14" s="1"/>
  <c r="B143" i="13"/>
  <c r="EH17" i="8"/>
  <c r="B140" i="7" l="1"/>
  <c r="C142" i="13"/>
  <c r="C142" i="14"/>
  <c r="D143" i="13"/>
  <c r="B143" i="14"/>
  <c r="D143" i="14" s="1"/>
  <c r="B144" i="13"/>
  <c r="EI17" i="8"/>
  <c r="B141" i="7" l="1"/>
  <c r="C143" i="13"/>
  <c r="C143" i="14"/>
  <c r="D144" i="13"/>
  <c r="B144" i="14"/>
  <c r="D144" i="14" s="1"/>
  <c r="B145" i="13"/>
  <c r="EJ17" i="8"/>
  <c r="B142" i="7" l="1"/>
  <c r="C144" i="13"/>
  <c r="C144" i="14" s="1"/>
  <c r="D145" i="13"/>
  <c r="B145" i="14"/>
  <c r="D145" i="14" s="1"/>
  <c r="B146" i="13"/>
  <c r="EK17" i="8"/>
  <c r="B143" i="7" l="1"/>
  <c r="C145" i="13"/>
  <c r="C145" i="14" s="1"/>
  <c r="D146" i="13"/>
  <c r="B146" i="14"/>
  <c r="D146" i="14" s="1"/>
  <c r="B147" i="13"/>
  <c r="EL17" i="8"/>
  <c r="B144" i="7" l="1"/>
  <c r="C146" i="13"/>
  <c r="C146" i="14"/>
  <c r="D147" i="13"/>
  <c r="B147" i="14"/>
  <c r="D147" i="14" s="1"/>
  <c r="B148" i="13"/>
  <c r="EM17" i="8"/>
  <c r="B145" i="7" l="1"/>
  <c r="C147" i="13"/>
  <c r="C147" i="14" s="1"/>
  <c r="D148" i="13"/>
  <c r="B148" i="14"/>
  <c r="D148" i="14" s="1"/>
  <c r="B149" i="13"/>
  <c r="EN17" i="8"/>
  <c r="B146" i="7" l="1"/>
  <c r="C148" i="13"/>
  <c r="C148" i="14" s="1"/>
  <c r="D149" i="13"/>
  <c r="B149" i="14"/>
  <c r="D149" i="14" s="1"/>
  <c r="B150" i="13"/>
  <c r="EO17" i="8"/>
  <c r="B147" i="7" l="1"/>
  <c r="C149" i="13"/>
  <c r="C149" i="14" s="1"/>
  <c r="D150" i="13"/>
  <c r="B150" i="14"/>
  <c r="D150" i="14" s="1"/>
  <c r="B151" i="13"/>
  <c r="EP17" i="8"/>
  <c r="B148" i="7" l="1"/>
  <c r="C150" i="13"/>
  <c r="C150" i="14"/>
  <c r="D151" i="13"/>
  <c r="B151" i="14"/>
  <c r="D151" i="14" s="1"/>
  <c r="B152" i="13"/>
  <c r="EQ17" i="8"/>
  <c r="B149" i="7" l="1"/>
  <c r="C151" i="13"/>
  <c r="C151" i="14" s="1"/>
  <c r="D152" i="13"/>
  <c r="B152" i="14"/>
  <c r="D152" i="14" s="1"/>
  <c r="B153" i="13"/>
  <c r="ER17" i="8"/>
  <c r="B150" i="7" l="1"/>
  <c r="C152" i="13"/>
  <c r="C152" i="14"/>
  <c r="D153" i="13"/>
  <c r="B153" i="14"/>
  <c r="D153" i="14" s="1"/>
  <c r="B154" i="13"/>
  <c r="ES17" i="8"/>
  <c r="B151" i="7" l="1"/>
  <c r="C153" i="13"/>
  <c r="C153" i="14"/>
  <c r="D154" i="13"/>
  <c r="B154" i="14"/>
  <c r="D154" i="14" s="1"/>
  <c r="B155" i="13"/>
  <c r="ET17" i="8"/>
  <c r="B152" i="7" l="1"/>
  <c r="C154" i="13"/>
  <c r="C154" i="14"/>
  <c r="D155" i="13"/>
  <c r="B155" i="14"/>
  <c r="D155" i="14" s="1"/>
  <c r="B156" i="13"/>
  <c r="EU17" i="8"/>
  <c r="B153" i="7" l="1"/>
  <c r="C155" i="13"/>
  <c r="C155" i="14"/>
  <c r="D156" i="13"/>
  <c r="B156" i="14"/>
  <c r="D156" i="14" s="1"/>
  <c r="B157" i="13"/>
  <c r="EV17" i="8"/>
  <c r="B154" i="7" l="1"/>
  <c r="C156" i="13"/>
  <c r="C156" i="14"/>
  <c r="D157" i="13"/>
  <c r="B157" i="14"/>
  <c r="D157" i="14" s="1"/>
  <c r="B158" i="13"/>
  <c r="EW17" i="8"/>
  <c r="B155" i="7" l="1"/>
  <c r="C157" i="13"/>
  <c r="C157" i="14"/>
  <c r="D158" i="13"/>
  <c r="B158" i="14"/>
  <c r="D158" i="14" s="1"/>
  <c r="B159" i="13"/>
  <c r="EX17" i="8"/>
  <c r="B156" i="7" l="1"/>
  <c r="C158" i="13"/>
  <c r="C158" i="14" s="1"/>
  <c r="D159" i="13"/>
  <c r="B159" i="14"/>
  <c r="D159" i="14" s="1"/>
  <c r="B160" i="13"/>
  <c r="EY17" i="8"/>
  <c r="B157" i="7" l="1"/>
  <c r="C159" i="13"/>
  <c r="C159" i="14"/>
  <c r="D160" i="13"/>
  <c r="B160" i="14"/>
  <c r="D160" i="14" s="1"/>
  <c r="B161" i="13"/>
  <c r="EZ17" i="8"/>
  <c r="B158" i="7" l="1"/>
  <c r="C160" i="13"/>
  <c r="C160" i="14" s="1"/>
  <c r="D161" i="13"/>
  <c r="B161" i="14"/>
  <c r="D161" i="14" s="1"/>
  <c r="B162" i="13"/>
  <c r="FA17" i="8"/>
  <c r="B159" i="7" l="1"/>
  <c r="C161" i="13"/>
  <c r="C161" i="14"/>
  <c r="D162" i="13"/>
  <c r="B162" i="14"/>
  <c r="D162" i="14" s="1"/>
  <c r="B163" i="13"/>
  <c r="FB17" i="8"/>
  <c r="B160" i="7" l="1"/>
  <c r="C162" i="13"/>
  <c r="C162" i="14" s="1"/>
  <c r="D163" i="13"/>
  <c r="B163" i="14"/>
  <c r="D163" i="14" s="1"/>
  <c r="B164" i="13"/>
  <c r="FC17" i="8"/>
  <c r="B161" i="7" l="1"/>
  <c r="C163" i="13"/>
  <c r="C163" i="14"/>
  <c r="D164" i="13"/>
  <c r="B164" i="14"/>
  <c r="D164" i="14" s="1"/>
  <c r="B165" i="13"/>
  <c r="FD17" i="8"/>
  <c r="B162" i="7" l="1"/>
  <c r="C164" i="13"/>
  <c r="C164" i="14"/>
  <c r="D165" i="13"/>
  <c r="B165" i="14"/>
  <c r="D165" i="14" s="1"/>
  <c r="B166" i="13"/>
  <c r="FE17" i="8"/>
  <c r="B163" i="7" l="1"/>
  <c r="C165" i="13"/>
  <c r="C165" i="14" s="1"/>
  <c r="D166" i="13"/>
  <c r="B166" i="14"/>
  <c r="D166" i="14" s="1"/>
  <c r="B167" i="13"/>
  <c r="FF17" i="8"/>
  <c r="B164" i="7" l="1"/>
  <c r="C166" i="13"/>
  <c r="C166" i="14"/>
  <c r="D167" i="13"/>
  <c r="B167" i="14"/>
  <c r="D167" i="14" s="1"/>
  <c r="B168" i="13"/>
  <c r="FG17" i="8"/>
  <c r="B165" i="7" l="1"/>
  <c r="C167" i="13"/>
  <c r="C167" i="14" s="1"/>
  <c r="D168" i="13"/>
  <c r="B168" i="14"/>
  <c r="D168" i="14" s="1"/>
  <c r="B169" i="13"/>
  <c r="FH17" i="8"/>
  <c r="B166" i="7" l="1"/>
  <c r="C168" i="13"/>
  <c r="C168" i="14" s="1"/>
  <c r="D169" i="13"/>
  <c r="B169" i="14"/>
  <c r="D169" i="14" s="1"/>
  <c r="B170" i="13"/>
  <c r="FI17" i="8"/>
  <c r="B167" i="7" l="1"/>
  <c r="C169" i="13"/>
  <c r="C169" i="14" s="1"/>
  <c r="D170" i="13"/>
  <c r="B170" i="14"/>
  <c r="D170" i="14" s="1"/>
  <c r="B171" i="13"/>
  <c r="FJ17" i="8"/>
  <c r="B168" i="7" l="1"/>
  <c r="C170" i="13"/>
  <c r="C170" i="14"/>
  <c r="D171" i="13"/>
  <c r="B171" i="14"/>
  <c r="D171" i="14" s="1"/>
  <c r="B172" i="13"/>
  <c r="FK17" i="8"/>
  <c r="B169" i="7" l="1"/>
  <c r="C171" i="13"/>
  <c r="C171" i="14" s="1"/>
  <c r="D172" i="13"/>
  <c r="B172" i="14"/>
  <c r="D172" i="14" s="1"/>
  <c r="B173" i="13"/>
  <c r="FL17" i="8"/>
  <c r="B170" i="7" l="1"/>
  <c r="C172" i="13"/>
  <c r="C172" i="14"/>
  <c r="D173" i="13"/>
  <c r="B173" i="14"/>
  <c r="D173" i="14" s="1"/>
  <c r="B174" i="13"/>
  <c r="FM17" i="8"/>
  <c r="B171" i="7" l="1"/>
  <c r="C173" i="13"/>
  <c r="C173" i="14"/>
  <c r="D174" i="13"/>
  <c r="B174" i="14"/>
  <c r="D174" i="14" s="1"/>
  <c r="B175" i="13"/>
  <c r="FN17" i="8"/>
  <c r="B172" i="7" l="1"/>
  <c r="C174" i="13"/>
  <c r="C174" i="14"/>
  <c r="D175" i="13"/>
  <c r="B175" i="14"/>
  <c r="D175" i="14" s="1"/>
  <c r="B176" i="13"/>
  <c r="FO17" i="8"/>
  <c r="B173" i="7" l="1"/>
  <c r="C175" i="13"/>
  <c r="C175" i="14" s="1"/>
  <c r="D176" i="13"/>
  <c r="B176" i="14"/>
  <c r="D176" i="14" s="1"/>
  <c r="B177" i="13"/>
  <c r="FP17" i="8"/>
  <c r="B174" i="7" l="1"/>
  <c r="C176" i="13"/>
  <c r="C176" i="14"/>
  <c r="D177" i="13"/>
  <c r="B177" i="14"/>
  <c r="D177" i="14" s="1"/>
  <c r="B178" i="13"/>
  <c r="FQ17" i="8"/>
  <c r="B175" i="7" l="1"/>
  <c r="C177" i="13"/>
  <c r="C177" i="14" s="1"/>
  <c r="D178" i="13"/>
  <c r="B178" i="14"/>
  <c r="D178" i="14" s="1"/>
  <c r="B179" i="13"/>
  <c r="FR17" i="8"/>
  <c r="B176" i="7" l="1"/>
  <c r="C178" i="13"/>
  <c r="C178" i="14" s="1"/>
  <c r="D179" i="13"/>
  <c r="B179" i="14"/>
  <c r="D179" i="14" s="1"/>
  <c r="B180" i="13"/>
  <c r="FS17" i="8"/>
  <c r="B177" i="7" l="1"/>
  <c r="C179" i="13"/>
  <c r="C179" i="14"/>
  <c r="D180" i="13"/>
  <c r="B180" i="14"/>
  <c r="D180" i="14" s="1"/>
  <c r="B181" i="13"/>
  <c r="FT17" i="8"/>
  <c r="B178" i="7" l="1"/>
  <c r="C180" i="13"/>
  <c r="C180" i="14" s="1"/>
  <c r="D181" i="13"/>
  <c r="B181" i="14"/>
  <c r="D181" i="14" s="1"/>
  <c r="B182" i="13"/>
  <c r="FU17" i="8"/>
  <c r="B179" i="7" l="1"/>
  <c r="C181" i="13"/>
  <c r="C181" i="14" s="1"/>
  <c r="D182" i="13"/>
  <c r="B182" i="14"/>
  <c r="D182" i="14" s="1"/>
  <c r="B183" i="13"/>
  <c r="FV17" i="8"/>
  <c r="B180" i="7" l="1"/>
  <c r="C182" i="13"/>
  <c r="C182" i="14" s="1"/>
  <c r="D183" i="13"/>
  <c r="B183" i="14"/>
  <c r="D183" i="14" s="1"/>
  <c r="B184" i="13"/>
  <c r="FW17" i="8"/>
  <c r="B181" i="7" l="1"/>
  <c r="C183" i="13"/>
  <c r="C183" i="14"/>
  <c r="D184" i="13"/>
  <c r="B184" i="14"/>
  <c r="D184" i="14" s="1"/>
  <c r="B185" i="13"/>
  <c r="FX17" i="8"/>
  <c r="B182" i="7" l="1"/>
  <c r="C184" i="13"/>
  <c r="C184" i="14" s="1"/>
  <c r="D185" i="13"/>
  <c r="B185" i="14"/>
  <c r="D185" i="14" s="1"/>
  <c r="B186" i="13"/>
  <c r="FY17" i="8"/>
  <c r="B183" i="7" l="1"/>
  <c r="C185" i="13"/>
  <c r="C185" i="14" s="1"/>
  <c r="D186" i="13"/>
  <c r="B186" i="14"/>
  <c r="D186" i="14" s="1"/>
  <c r="B187" i="13"/>
  <c r="FZ17" i="8"/>
  <c r="B184" i="7" l="1"/>
  <c r="C186" i="13"/>
  <c r="C186" i="14"/>
  <c r="D187" i="13"/>
  <c r="B187" i="14"/>
  <c r="D187" i="14" s="1"/>
  <c r="B188" i="13"/>
  <c r="GA17" i="8"/>
  <c r="B185" i="7" l="1"/>
  <c r="C187" i="13"/>
  <c r="C187" i="14"/>
  <c r="D188" i="13"/>
  <c r="B188" i="14"/>
  <c r="D188" i="14" s="1"/>
  <c r="B189" i="13"/>
  <c r="GB17" i="8"/>
  <c r="B186" i="7" l="1"/>
  <c r="C188" i="13"/>
  <c r="C188" i="14" s="1"/>
  <c r="D189" i="13"/>
  <c r="B189" i="14"/>
  <c r="D189" i="14" s="1"/>
  <c r="B190" i="13"/>
  <c r="GC17" i="8"/>
  <c r="B187" i="7" l="1"/>
  <c r="C189" i="13"/>
  <c r="C189" i="14" s="1"/>
  <c r="D190" i="13"/>
  <c r="B190" i="14"/>
  <c r="D190" i="14" s="1"/>
  <c r="B191" i="13"/>
  <c r="GD17" i="8"/>
  <c r="B188" i="7" l="1"/>
  <c r="C190" i="13"/>
  <c r="C190" i="14" s="1"/>
  <c r="D191" i="13"/>
  <c r="B191" i="14"/>
  <c r="D191" i="14" s="1"/>
  <c r="B192" i="13"/>
  <c r="GE17" i="8"/>
  <c r="B189" i="7" l="1"/>
  <c r="C191" i="13"/>
  <c r="C191" i="14" s="1"/>
  <c r="D192" i="13"/>
  <c r="B192" i="14"/>
  <c r="D192" i="14" s="1"/>
  <c r="B193" i="13"/>
  <c r="GF17" i="8"/>
  <c r="B190" i="7" l="1"/>
  <c r="C192" i="13"/>
  <c r="C192" i="14" s="1"/>
  <c r="D193" i="13"/>
  <c r="B193" i="14"/>
  <c r="D193" i="14" s="1"/>
  <c r="B194" i="13"/>
  <c r="GG17" i="8"/>
  <c r="B191" i="7" l="1"/>
  <c r="C193" i="13"/>
  <c r="C193" i="14" s="1"/>
  <c r="D194" i="13"/>
  <c r="B194" i="14"/>
  <c r="D194" i="14" s="1"/>
  <c r="B195" i="13"/>
  <c r="GH17" i="8"/>
  <c r="B192" i="7" l="1"/>
  <c r="C194" i="13"/>
  <c r="C194" i="14" s="1"/>
  <c r="D195" i="13"/>
  <c r="B195" i="14"/>
  <c r="D195" i="14" s="1"/>
  <c r="B196" i="13"/>
  <c r="GI17" i="8"/>
  <c r="B193" i="7" l="1"/>
  <c r="C195" i="13"/>
  <c r="C195" i="14"/>
  <c r="D196" i="13"/>
  <c r="B196" i="14"/>
  <c r="D196" i="14" s="1"/>
  <c r="B197" i="13"/>
  <c r="GJ17" i="8"/>
  <c r="B194" i="7" l="1"/>
  <c r="C196" i="13"/>
  <c r="C196" i="14" s="1"/>
  <c r="D197" i="13"/>
  <c r="B197" i="14"/>
  <c r="D197" i="14" s="1"/>
  <c r="B198" i="13"/>
  <c r="GK17" i="8"/>
  <c r="B195" i="7" l="1"/>
  <c r="C197" i="13"/>
  <c r="C197" i="14" s="1"/>
  <c r="D198" i="13"/>
  <c r="B198" i="14"/>
  <c r="D198" i="14" s="1"/>
  <c r="B199" i="13"/>
  <c r="GL17" i="8"/>
  <c r="B196" i="7" l="1"/>
  <c r="C198" i="13"/>
  <c r="C198" i="14" s="1"/>
  <c r="D199" i="13"/>
  <c r="B199" i="14"/>
  <c r="D199" i="14" s="1"/>
  <c r="B200" i="13"/>
  <c r="GM17" i="8"/>
  <c r="B197" i="7" l="1"/>
  <c r="C199" i="13"/>
  <c r="C199" i="14" s="1"/>
  <c r="D200" i="13"/>
  <c r="B200" i="14"/>
  <c r="D200" i="14" s="1"/>
  <c r="B201" i="13"/>
  <c r="GN17" i="8"/>
  <c r="B198" i="7" l="1"/>
  <c r="C200" i="13"/>
  <c r="C200" i="14"/>
  <c r="D201" i="13"/>
  <c r="B201" i="14"/>
  <c r="D201" i="14" s="1"/>
  <c r="B202" i="13"/>
  <c r="GO17" i="8"/>
  <c r="B199" i="7" l="1"/>
  <c r="C201" i="13"/>
  <c r="C201" i="14" s="1"/>
  <c r="D202" i="13"/>
  <c r="B202" i="14"/>
  <c r="D202" i="14" s="1"/>
  <c r="B203" i="13"/>
  <c r="GP17" i="8"/>
  <c r="B200" i="7" l="1"/>
  <c r="C202" i="13"/>
  <c r="C202" i="14"/>
  <c r="D203" i="13"/>
  <c r="B203" i="14"/>
  <c r="D203" i="14" s="1"/>
  <c r="B204" i="13"/>
  <c r="GQ17" i="8"/>
  <c r="B201" i="7" l="1"/>
  <c r="C203" i="13"/>
  <c r="C203" i="14" s="1"/>
  <c r="D204" i="13"/>
  <c r="B204" i="14"/>
  <c r="D204" i="14" s="1"/>
  <c r="B205" i="13"/>
  <c r="GR17" i="8"/>
  <c r="B202" i="7" l="1"/>
  <c r="C204" i="13"/>
  <c r="C204" i="14" s="1"/>
  <c r="D205" i="13"/>
  <c r="B205" i="14"/>
  <c r="D205" i="14" s="1"/>
  <c r="B206" i="13"/>
  <c r="GS17" i="8"/>
  <c r="B203" i="7" l="1"/>
  <c r="C205" i="13"/>
  <c r="C205" i="14"/>
  <c r="D206" i="13"/>
  <c r="B206" i="14"/>
  <c r="D206" i="14" s="1"/>
  <c r="B207" i="13"/>
  <c r="GT17" i="8"/>
  <c r="B204" i="7" l="1"/>
  <c r="C206" i="13"/>
  <c r="C206" i="14" s="1"/>
  <c r="D207" i="13"/>
  <c r="B207" i="14"/>
  <c r="D207" i="14" s="1"/>
  <c r="B208" i="13"/>
  <c r="GU17" i="8"/>
  <c r="B205" i="7" l="1"/>
  <c r="C207" i="13"/>
  <c r="C207" i="14" s="1"/>
  <c r="D208" i="13"/>
  <c r="B208" i="14"/>
  <c r="D208" i="14" s="1"/>
  <c r="B209" i="13"/>
  <c r="GV17" i="8"/>
  <c r="B206" i="7" l="1"/>
  <c r="C208" i="13"/>
  <c r="C208" i="14"/>
  <c r="D209" i="13"/>
  <c r="B209" i="14"/>
  <c r="D209" i="14" s="1"/>
  <c r="B210" i="13"/>
  <c r="GW17" i="8"/>
  <c r="B207" i="7" l="1"/>
  <c r="C209" i="13"/>
  <c r="C209" i="14" s="1"/>
  <c r="D210" i="13"/>
  <c r="B210" i="14"/>
  <c r="D210" i="14" s="1"/>
  <c r="B211" i="13"/>
  <c r="GX17" i="8"/>
  <c r="B208" i="7" l="1"/>
  <c r="C210" i="13"/>
  <c r="C210" i="14" s="1"/>
  <c r="D211" i="13"/>
  <c r="B211" i="14"/>
  <c r="D211" i="14" s="1"/>
  <c r="B212" i="13"/>
  <c r="GY17" i="8"/>
  <c r="B209" i="7" l="1"/>
  <c r="C211" i="13"/>
  <c r="C211" i="14" s="1"/>
  <c r="D212" i="13"/>
  <c r="B212" i="14"/>
  <c r="D212" i="14" s="1"/>
  <c r="B213" i="13"/>
  <c r="GZ17" i="8"/>
  <c r="B210" i="7" l="1"/>
  <c r="C212" i="13"/>
  <c r="C212" i="14" s="1"/>
  <c r="D213" i="13"/>
  <c r="B213" i="14"/>
  <c r="D213" i="14" s="1"/>
  <c r="B214" i="13"/>
  <c r="HA17" i="8"/>
  <c r="B211" i="7" l="1"/>
  <c r="C213" i="13"/>
  <c r="C213" i="14" s="1"/>
  <c r="D214" i="13"/>
  <c r="B214" i="14"/>
  <c r="D214" i="14" s="1"/>
  <c r="B215" i="13"/>
  <c r="HB17" i="8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/>
  <c r="D215" i="13"/>
  <c r="B215" i="14"/>
  <c r="D215" i="14" s="1"/>
  <c r="B216" i="13"/>
  <c r="HC17" i="8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HD17" i="8"/>
  <c r="C216" i="13" l="1"/>
  <c r="C216" i="14"/>
  <c r="D217" i="13"/>
  <c r="B217" i="14"/>
  <c r="D217" i="14" s="1"/>
  <c r="B218" i="13"/>
  <c r="E216" i="13"/>
  <c r="E216" i="14" s="1"/>
  <c r="HE17" i="8"/>
  <c r="C217" i="13" l="1"/>
  <c r="C217" i="14"/>
  <c r="D218" i="13"/>
  <c r="B218" i="14"/>
  <c r="D218" i="14" s="1"/>
  <c r="B219" i="13"/>
  <c r="E217" i="13"/>
  <c r="E217" i="14" s="1"/>
  <c r="HF17" i="8"/>
  <c r="C218" i="13" l="1"/>
  <c r="C218" i="14"/>
  <c r="D219" i="13"/>
  <c r="B219" i="14"/>
  <c r="D219" i="14" s="1"/>
  <c r="B220" i="13"/>
  <c r="E218" i="13"/>
  <c r="E218" i="14" s="1"/>
  <c r="HG17" i="8"/>
  <c r="C219" i="13" l="1"/>
  <c r="C219" i="14"/>
  <c r="D220" i="13"/>
  <c r="B220" i="14"/>
  <c r="D220" i="14" s="1"/>
  <c r="B221" i="13"/>
  <c r="E219" i="13"/>
  <c r="E219" i="14" s="1"/>
  <c r="HH17" i="8"/>
  <c r="C220" i="13" l="1"/>
  <c r="C220" i="14"/>
  <c r="D221" i="13"/>
  <c r="B221" i="14"/>
  <c r="D221" i="14" s="1"/>
  <c r="B222" i="13"/>
  <c r="E220" i="13"/>
  <c r="E220" i="14" s="1"/>
  <c r="HI17" i="8"/>
  <c r="C221" i="13" l="1"/>
  <c r="C221" i="14"/>
  <c r="D222" i="13"/>
  <c r="B222" i="14"/>
  <c r="D222" i="14" s="1"/>
  <c r="B223" i="13"/>
  <c r="E221" i="13"/>
  <c r="E221" i="14" s="1"/>
  <c r="HJ17" i="8"/>
  <c r="C222" i="13" l="1"/>
  <c r="C222" i="14"/>
  <c r="D223" i="13"/>
  <c r="B223" i="14"/>
  <c r="D223" i="14" s="1"/>
  <c r="B224" i="13"/>
  <c r="E222" i="13"/>
  <c r="E222" i="14" s="1"/>
  <c r="HK17" i="8"/>
  <c r="C223" i="13" l="1"/>
  <c r="C223" i="14"/>
  <c r="D224" i="13"/>
  <c r="B224" i="14"/>
  <c r="D224" i="14" s="1"/>
  <c r="B225" i="13"/>
  <c r="E223" i="13"/>
  <c r="E223" i="14" s="1"/>
  <c r="HL17" i="8"/>
  <c r="C224" i="13" l="1"/>
  <c r="C224" i="14" s="1"/>
  <c r="D225" i="13"/>
  <c r="B225" i="14"/>
  <c r="D225" i="14" s="1"/>
  <c r="B226" i="13"/>
  <c r="E224" i="13"/>
  <c r="E224" i="14" s="1"/>
  <c r="HM17" i="8"/>
  <c r="C225" i="13" l="1"/>
  <c r="C225" i="14"/>
  <c r="D226" i="13"/>
  <c r="B226" i="14"/>
  <c r="D226" i="14" s="1"/>
  <c r="B227" i="13"/>
  <c r="E225" i="13"/>
  <c r="E225" i="14" s="1"/>
  <c r="HN17" i="8"/>
  <c r="C226" i="13" l="1"/>
  <c r="C226" i="14"/>
  <c r="D227" i="13"/>
  <c r="B227" i="14"/>
  <c r="D227" i="14" s="1"/>
  <c r="B228" i="13"/>
  <c r="E226" i="13"/>
  <c r="E226" i="14" s="1"/>
  <c r="HO17" i="8"/>
  <c r="C227" i="13" l="1"/>
  <c r="C227" i="14"/>
  <c r="D228" i="13"/>
  <c r="B228" i="14"/>
  <c r="D228" i="14" s="1"/>
  <c r="E227" i="13"/>
  <c r="E227" i="14" s="1"/>
  <c r="HP17" i="8"/>
  <c r="C228" i="13" l="1"/>
  <c r="C228" i="14"/>
  <c r="E228" i="13"/>
  <c r="E228" i="14" s="1"/>
  <c r="HQ17" i="8"/>
  <c r="HR17" i="8" l="1"/>
  <c r="HS17" i="8" l="1"/>
  <c r="HT17" i="8" l="1"/>
  <c r="HU17" i="8" l="1"/>
  <c r="HV17" i="8" l="1"/>
  <c r="AN223" i="7" l="1"/>
  <c r="AH222" i="7"/>
  <c r="AN222" i="7"/>
  <c r="AL224" i="7"/>
  <c r="HW17" i="8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HX17" i="8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J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J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J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148" i="14" l="1"/>
  <c r="J20" i="13"/>
  <c r="J39" i="14"/>
  <c r="J141" i="14"/>
  <c r="J60" i="13"/>
  <c r="N60" i="13" s="1"/>
  <c r="J14" i="14"/>
  <c r="H12" i="10"/>
  <c r="H11" i="10"/>
  <c r="H32" i="10"/>
  <c r="H31" i="10"/>
  <c r="J58" i="14"/>
  <c r="I5" i="10"/>
  <c r="I6" i="10"/>
  <c r="H13" i="10"/>
  <c r="H14" i="10"/>
  <c r="I32" i="10"/>
  <c r="I31" i="10"/>
  <c r="H5" i="10"/>
  <c r="H6" i="10"/>
  <c r="I37" i="10"/>
  <c r="I38" i="10"/>
  <c r="H16" i="10"/>
  <c r="H15" i="10"/>
  <c r="I29" i="10"/>
  <c r="I30" i="10"/>
  <c r="I24" i="10"/>
  <c r="I23" i="10"/>
  <c r="I49" i="10"/>
  <c r="I50" i="10"/>
  <c r="I36" i="10"/>
  <c r="I35" i="10"/>
  <c r="H45" i="10"/>
  <c r="H46" i="10"/>
  <c r="I48" i="10"/>
  <c r="I47" i="10"/>
  <c r="I17" i="10"/>
  <c r="I18" i="10"/>
  <c r="H41" i="10"/>
  <c r="H42" i="10"/>
  <c r="H28" i="10"/>
  <c r="H27" i="10"/>
  <c r="H48" i="10"/>
  <c r="H47" i="10"/>
  <c r="H20" i="10"/>
  <c r="H19" i="10"/>
  <c r="H33" i="10"/>
  <c r="H34" i="10"/>
  <c r="H4" i="10"/>
  <c r="H3" i="10"/>
  <c r="I12" i="10"/>
  <c r="I11" i="10"/>
  <c r="I33" i="10"/>
  <c r="I34" i="10"/>
  <c r="I45" i="10"/>
  <c r="I46" i="10"/>
  <c r="I8" i="10"/>
  <c r="I7" i="10"/>
  <c r="H8" i="10"/>
  <c r="H7" i="10"/>
  <c r="I16" i="10"/>
  <c r="I15" i="10"/>
  <c r="H49" i="10"/>
  <c r="H50" i="10"/>
  <c r="I20" i="10"/>
  <c r="I19" i="10"/>
  <c r="I44" i="10"/>
  <c r="I43" i="10"/>
  <c r="I25" i="10"/>
  <c r="I26" i="10"/>
  <c r="H40" i="10"/>
  <c r="H39" i="10"/>
  <c r="H25" i="10"/>
  <c r="H26" i="10"/>
  <c r="I40" i="10"/>
  <c r="I39" i="10"/>
  <c r="I13" i="10"/>
  <c r="I14" i="10"/>
  <c r="I9" i="10"/>
  <c r="I10" i="10"/>
  <c r="I41" i="10"/>
  <c r="I42" i="10"/>
  <c r="I21" i="10"/>
  <c r="I22" i="10"/>
  <c r="H29" i="10"/>
  <c r="H30" i="10"/>
  <c r="I4" i="10"/>
  <c r="I3" i="10"/>
  <c r="H24" i="10"/>
  <c r="H23" i="10"/>
  <c r="H36" i="10"/>
  <c r="H35" i="10"/>
  <c r="H17" i="10"/>
  <c r="H18" i="10"/>
  <c r="H37" i="10"/>
  <c r="H38" i="10"/>
  <c r="H44" i="10"/>
  <c r="H43" i="10"/>
  <c r="I28" i="10"/>
  <c r="I27" i="10"/>
  <c r="H21" i="10"/>
  <c r="H22" i="10"/>
  <c r="H9" i="10"/>
  <c r="H10" i="10"/>
  <c r="J53" i="13"/>
  <c r="N53" i="13" s="1"/>
  <c r="J19" i="13"/>
  <c r="M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K7" i="12"/>
  <c r="K8" i="12"/>
  <c r="K23" i="12"/>
  <c r="K24" i="12"/>
  <c r="H5" i="12"/>
  <c r="H6" i="12"/>
  <c r="I29" i="12"/>
  <c r="I30" i="12"/>
  <c r="F35" i="7"/>
  <c r="H37" i="12"/>
  <c r="H38" i="12"/>
  <c r="H11" i="12"/>
  <c r="H12" i="12"/>
  <c r="J35" i="12"/>
  <c r="J36" i="12"/>
  <c r="H3" i="12"/>
  <c r="H4" i="12"/>
  <c r="J23" i="12"/>
  <c r="J24" i="12"/>
  <c r="K47" i="12"/>
  <c r="K48" i="12"/>
  <c r="I37" i="12"/>
  <c r="I38" i="12"/>
  <c r="H13" i="12"/>
  <c r="H14" i="12"/>
  <c r="I21" i="12"/>
  <c r="I22" i="12"/>
  <c r="J15" i="12"/>
  <c r="J16" i="12"/>
  <c r="I45" i="12"/>
  <c r="I46" i="12"/>
  <c r="J37" i="12"/>
  <c r="J38" i="12"/>
  <c r="K31" i="12"/>
  <c r="K32" i="12"/>
  <c r="J45" i="12"/>
  <c r="J46" i="12"/>
  <c r="K37" i="12"/>
  <c r="K38" i="12"/>
  <c r="K21" i="12"/>
  <c r="K22" i="12"/>
  <c r="K45" i="12"/>
  <c r="K46" i="12"/>
  <c r="I17" i="12"/>
  <c r="I18" i="12"/>
  <c r="I35" i="12"/>
  <c r="I36" i="12"/>
  <c r="I9" i="12"/>
  <c r="I10" i="12"/>
  <c r="J19" i="12"/>
  <c r="J20" i="12"/>
  <c r="K39" i="12"/>
  <c r="K40" i="12"/>
  <c r="I19" i="12"/>
  <c r="I20" i="12"/>
  <c r="I27" i="12"/>
  <c r="I28" i="12"/>
  <c r="J7" i="12"/>
  <c r="J8" i="12"/>
  <c r="I33" i="12"/>
  <c r="I34" i="12"/>
  <c r="K49" i="12"/>
  <c r="K50" i="12"/>
  <c r="I13" i="12"/>
  <c r="I14" i="12"/>
  <c r="I41" i="12"/>
  <c r="I42" i="12"/>
  <c r="J17" i="12"/>
  <c r="J18" i="12"/>
  <c r="H27" i="12"/>
  <c r="H28" i="12"/>
  <c r="K43" i="12"/>
  <c r="K44" i="12"/>
  <c r="K33" i="12"/>
  <c r="K34" i="12"/>
  <c r="I43" i="12"/>
  <c r="I44" i="12"/>
  <c r="K17" i="12"/>
  <c r="K18" i="12"/>
  <c r="K35" i="12"/>
  <c r="K36" i="12"/>
  <c r="K9" i="12"/>
  <c r="K10" i="12"/>
  <c r="H19" i="12"/>
  <c r="H20" i="12"/>
  <c r="I39" i="12"/>
  <c r="I40" i="12"/>
  <c r="K19" i="12"/>
  <c r="K20" i="12"/>
  <c r="K3" i="12"/>
  <c r="K4" i="12"/>
  <c r="K15" i="12"/>
  <c r="K16" i="12"/>
  <c r="K25" i="12"/>
  <c r="K26" i="12"/>
  <c r="H49" i="12"/>
  <c r="H50" i="12"/>
  <c r="K11" i="12"/>
  <c r="K12" i="12"/>
  <c r="J39" i="12"/>
  <c r="J40" i="12"/>
  <c r="K13" i="12"/>
  <c r="K14" i="12"/>
  <c r="K41" i="12"/>
  <c r="K42" i="12"/>
  <c r="J33" i="12"/>
  <c r="J34" i="12"/>
  <c r="J43" i="12"/>
  <c r="J44" i="12"/>
  <c r="J13" i="12"/>
  <c r="J14" i="12"/>
  <c r="H45" i="12"/>
  <c r="H46" i="12"/>
  <c r="H17" i="12"/>
  <c r="H18" i="12"/>
  <c r="H41" i="12"/>
  <c r="H42" i="12"/>
  <c r="J25" i="12"/>
  <c r="J26" i="12"/>
  <c r="I3" i="12"/>
  <c r="I4" i="12"/>
  <c r="I15" i="12"/>
  <c r="I16" i="12"/>
  <c r="I25" i="12"/>
  <c r="I26" i="12"/>
  <c r="J50" i="12"/>
  <c r="J49" i="12"/>
  <c r="I11" i="12"/>
  <c r="I12" i="12"/>
  <c r="H39" i="12"/>
  <c r="H40" i="12"/>
  <c r="H31" i="12"/>
  <c r="H32" i="12"/>
  <c r="H9" i="12"/>
  <c r="H10" i="12"/>
  <c r="J29" i="12"/>
  <c r="J30" i="12"/>
  <c r="H33" i="12"/>
  <c r="H34" i="12"/>
  <c r="H43" i="12"/>
  <c r="H44" i="12"/>
  <c r="K27" i="12"/>
  <c r="K28" i="12"/>
  <c r="H7" i="12"/>
  <c r="H8" i="12"/>
  <c r="I31" i="12"/>
  <c r="I32" i="12"/>
  <c r="J41" i="12"/>
  <c r="J42" i="12"/>
  <c r="H25" i="12"/>
  <c r="H26" i="12"/>
  <c r="K5" i="12"/>
  <c r="K6" i="12"/>
  <c r="J47" i="12"/>
  <c r="J48" i="12"/>
  <c r="J31" i="12"/>
  <c r="J32" i="12"/>
  <c r="J9" i="12"/>
  <c r="J10" i="12"/>
  <c r="H29" i="12"/>
  <c r="H30" i="12"/>
  <c r="H21" i="12"/>
  <c r="H22" i="12"/>
  <c r="H15" i="12"/>
  <c r="H16" i="12"/>
  <c r="I49" i="12"/>
  <c r="I50" i="12"/>
  <c r="J27" i="12"/>
  <c r="J28" i="12"/>
  <c r="I7" i="12"/>
  <c r="I8" i="12"/>
  <c r="I23" i="12"/>
  <c r="I24" i="12"/>
  <c r="J5" i="12"/>
  <c r="J6" i="12"/>
  <c r="K29" i="12"/>
  <c r="K30" i="12"/>
  <c r="I5" i="12"/>
  <c r="I6" i="12"/>
  <c r="F40" i="7"/>
  <c r="H47" i="12"/>
  <c r="H48" i="12"/>
  <c r="J11" i="12"/>
  <c r="J12" i="12"/>
  <c r="H35" i="12"/>
  <c r="H36" i="12"/>
  <c r="J3" i="12"/>
  <c r="J4" i="12"/>
  <c r="H23" i="12"/>
  <c r="H24" i="12"/>
  <c r="I47" i="12"/>
  <c r="I48" i="12"/>
  <c r="J21" i="12"/>
  <c r="J22" i="12"/>
  <c r="K25" i="10"/>
  <c r="K26" i="10"/>
  <c r="J3" i="10"/>
  <c r="J4" i="10"/>
  <c r="J31" i="10"/>
  <c r="J32" i="10"/>
  <c r="J9" i="10"/>
  <c r="J10" i="10"/>
  <c r="J35" i="10"/>
  <c r="J36" i="10"/>
  <c r="K45" i="10"/>
  <c r="K46" i="10"/>
  <c r="K39" i="10"/>
  <c r="K40" i="10"/>
  <c r="J25" i="10"/>
  <c r="J26" i="10"/>
  <c r="J47" i="10"/>
  <c r="J48" i="10"/>
  <c r="K3" i="10"/>
  <c r="K4" i="10"/>
  <c r="J13" i="10"/>
  <c r="J14" i="10"/>
  <c r="K11" i="10"/>
  <c r="K12" i="10"/>
  <c r="K15" i="10"/>
  <c r="K16" i="10"/>
  <c r="J21" i="10"/>
  <c r="J22" i="10"/>
  <c r="K47" i="10"/>
  <c r="K48" i="10"/>
  <c r="J49" i="10"/>
  <c r="J50" i="10"/>
  <c r="J19" i="10"/>
  <c r="J20" i="10"/>
  <c r="K27" i="10"/>
  <c r="K28" i="10"/>
  <c r="K49" i="10"/>
  <c r="K50" i="10"/>
  <c r="J29" i="10"/>
  <c r="J30" i="10"/>
  <c r="K33" i="10"/>
  <c r="K34" i="10"/>
  <c r="K5" i="10"/>
  <c r="K6" i="10"/>
  <c r="J43" i="10"/>
  <c r="J44" i="10"/>
  <c r="J11" i="10"/>
  <c r="J12" i="10"/>
  <c r="J17" i="10"/>
  <c r="J18" i="10"/>
  <c r="K31" i="10"/>
  <c r="K32" i="10"/>
  <c r="K13" i="10"/>
  <c r="K14" i="10"/>
  <c r="K41" i="10"/>
  <c r="K42" i="10"/>
  <c r="J5" i="10"/>
  <c r="J6" i="10"/>
  <c r="K23" i="10"/>
  <c r="K24" i="10"/>
  <c r="J15" i="10"/>
  <c r="J16" i="10"/>
  <c r="K21" i="10"/>
  <c r="K22" i="10"/>
  <c r="J27" i="10"/>
  <c r="J28" i="10"/>
  <c r="K17" i="10"/>
  <c r="K18" i="10"/>
  <c r="K29" i="10"/>
  <c r="K30" i="10"/>
  <c r="K19" i="10"/>
  <c r="K20" i="10"/>
  <c r="J41" i="10"/>
  <c r="J42" i="10"/>
  <c r="J23" i="10"/>
  <c r="J24" i="10"/>
  <c r="K37" i="10"/>
  <c r="K38" i="10"/>
  <c r="J45" i="10"/>
  <c r="J46" i="10"/>
  <c r="J7" i="10"/>
  <c r="J8" i="10"/>
  <c r="J39" i="10"/>
  <c r="J40" i="10"/>
  <c r="J33" i="10"/>
  <c r="J34" i="10"/>
  <c r="K35" i="10"/>
  <c r="K36" i="10"/>
  <c r="K43" i="10"/>
  <c r="K44" i="10"/>
  <c r="K9" i="10"/>
  <c r="K10" i="10"/>
  <c r="J37" i="10"/>
  <c r="J38" i="10"/>
  <c r="K7" i="10"/>
  <c r="K8" i="10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N19" i="13" l="1"/>
  <c r="L19" i="13" s="1"/>
  <c r="L43" i="12"/>
  <c r="M60" i="13"/>
  <c r="L21" i="12"/>
  <c r="M188" i="13"/>
  <c r="L188" i="13" s="1"/>
  <c r="M53" i="13"/>
  <c r="L53" i="13" s="1"/>
  <c r="J28" i="13"/>
  <c r="M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L44" i="12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L22" i="12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L41" i="12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L33" i="12"/>
  <c r="L17" i="12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L16" i="12"/>
  <c r="L42" i="12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L28" i="12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L3" i="10"/>
  <c r="L25" i="12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L32" i="12"/>
  <c r="L24" i="12"/>
  <c r="D20" i="7"/>
  <c r="L47" i="12"/>
  <c r="L20" i="12"/>
  <c r="L40" i="12"/>
  <c r="L36" i="12"/>
  <c r="L46" i="12"/>
  <c r="D151" i="7"/>
  <c r="L48" i="12"/>
  <c r="L9" i="12"/>
  <c r="L27" i="12"/>
  <c r="L6" i="12"/>
  <c r="L18" i="12"/>
  <c r="L12" i="12"/>
  <c r="L5" i="12"/>
  <c r="L31" i="12"/>
  <c r="L30" i="12"/>
  <c r="L45" i="12"/>
  <c r="L49" i="12"/>
  <c r="L13" i="12"/>
  <c r="L3" i="12"/>
  <c r="D21" i="7"/>
  <c r="L26" i="12"/>
  <c r="L29" i="12"/>
  <c r="L23" i="12"/>
  <c r="L19" i="12"/>
  <c r="L11" i="12"/>
  <c r="D190" i="7"/>
  <c r="L34" i="12"/>
  <c r="L38" i="12"/>
  <c r="D55" i="7"/>
  <c r="L7" i="12"/>
  <c r="L39" i="12"/>
  <c r="L15" i="12"/>
  <c r="L37" i="12"/>
  <c r="D28" i="7"/>
  <c r="L35" i="12"/>
  <c r="L8" i="12"/>
  <c r="L50" i="12"/>
  <c r="L10" i="12"/>
  <c r="L14" i="12"/>
  <c r="L4" i="12"/>
  <c r="L14" i="10"/>
  <c r="L40" i="10"/>
  <c r="L21" i="10"/>
  <c r="L29" i="10"/>
  <c r="L48" i="10"/>
  <c r="L13" i="10"/>
  <c r="L39" i="10"/>
  <c r="L28" i="10"/>
  <c r="L36" i="10"/>
  <c r="L8" i="10"/>
  <c r="L47" i="10"/>
  <c r="L45" i="10"/>
  <c r="L23" i="10"/>
  <c r="L38" i="10"/>
  <c r="L10" i="10"/>
  <c r="L46" i="10"/>
  <c r="D41" i="7"/>
  <c r="L16" i="10"/>
  <c r="L32" i="10"/>
  <c r="L20" i="10"/>
  <c r="L37" i="10"/>
  <c r="L4" i="10"/>
  <c r="L9" i="10"/>
  <c r="L27" i="10"/>
  <c r="L15" i="10"/>
  <c r="L31" i="10"/>
  <c r="L42" i="10"/>
  <c r="L19" i="10"/>
  <c r="L44" i="10"/>
  <c r="L12" i="10"/>
  <c r="D68" i="7"/>
  <c r="L24" i="10"/>
  <c r="L7" i="10"/>
  <c r="D58" i="7"/>
  <c r="L18" i="10"/>
  <c r="L26" i="10"/>
  <c r="L41" i="10"/>
  <c r="L6" i="10"/>
  <c r="L50" i="10"/>
  <c r="L43" i="10"/>
  <c r="L11" i="10"/>
  <c r="L34" i="10"/>
  <c r="L35" i="10"/>
  <c r="L17" i="10"/>
  <c r="L25" i="10"/>
  <c r="L5" i="10"/>
  <c r="L49" i="10"/>
  <c r="L22" i="10"/>
  <c r="L30" i="10"/>
  <c r="L33" i="10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42" i="13" l="1"/>
  <c r="L42" i="13" s="1"/>
  <c r="N28" i="13"/>
  <c r="L28" i="13" s="1"/>
  <c r="N32" i="13"/>
  <c r="L32" i="13" s="1"/>
  <c r="N33" i="13"/>
  <c r="L33" i="13" s="1"/>
  <c r="M29" i="13"/>
  <c r="L29" i="13" s="1"/>
  <c r="N31" i="13"/>
  <c r="L31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O19" i="10"/>
  <c r="N19" i="10"/>
  <c r="O27" i="11"/>
  <c r="N21" i="10"/>
  <c r="O21" i="10"/>
  <c r="O33" i="10"/>
  <c r="N33" i="10"/>
  <c r="N16" i="10"/>
  <c r="O16" i="10"/>
  <c r="N30" i="10"/>
  <c r="O30" i="10"/>
  <c r="O17" i="11"/>
  <c r="N11" i="10"/>
  <c r="O11" i="10"/>
  <c r="O7" i="10"/>
  <c r="N7" i="10"/>
  <c r="N15" i="10"/>
  <c r="O15" i="10"/>
  <c r="N36" i="10"/>
  <c r="O36" i="10"/>
  <c r="N14" i="10"/>
  <c r="O14" i="10"/>
  <c r="O3" i="10"/>
  <c r="N3" i="10"/>
  <c r="N26" i="10"/>
  <c r="O26" i="10"/>
  <c r="N29" i="10"/>
  <c r="O29" i="10"/>
  <c r="N32" i="10"/>
  <c r="O32" i="10"/>
  <c r="N34" i="10"/>
  <c r="O34" i="10"/>
  <c r="N40" i="10"/>
  <c r="O40" i="10"/>
  <c r="N22" i="10"/>
  <c r="O22" i="10"/>
  <c r="O49" i="11"/>
  <c r="O43" i="10"/>
  <c r="N43" i="10"/>
  <c r="N24" i="10"/>
  <c r="O24" i="10"/>
  <c r="N27" i="10"/>
  <c r="O27" i="10"/>
  <c r="N46" i="10"/>
  <c r="O46" i="10"/>
  <c r="N28" i="10"/>
  <c r="O28" i="10"/>
  <c r="O24" i="11"/>
  <c r="N18" i="10"/>
  <c r="O18" i="10"/>
  <c r="O49" i="10"/>
  <c r="N49" i="10"/>
  <c r="N50" i="10"/>
  <c r="O50" i="10"/>
  <c r="O9" i="10"/>
  <c r="N9" i="10"/>
  <c r="N10" i="10"/>
  <c r="O10" i="10"/>
  <c r="N39" i="10"/>
  <c r="O39" i="10"/>
  <c r="N20" i="10"/>
  <c r="O20" i="10"/>
  <c r="N35" i="10"/>
  <c r="O35" i="10"/>
  <c r="O47" i="10"/>
  <c r="N47" i="10"/>
  <c r="N8" i="10"/>
  <c r="O8" i="10"/>
  <c r="N5" i="10"/>
  <c r="O5" i="10"/>
  <c r="N6" i="10"/>
  <c r="O6" i="10"/>
  <c r="N12" i="10"/>
  <c r="O12" i="10"/>
  <c r="N4" i="10"/>
  <c r="O4" i="10"/>
  <c r="N38" i="10"/>
  <c r="O38" i="10"/>
  <c r="O13" i="10"/>
  <c r="N13" i="10"/>
  <c r="N17" i="10"/>
  <c r="O17" i="10"/>
  <c r="N45" i="10"/>
  <c r="O45" i="10"/>
  <c r="N42" i="10"/>
  <c r="O42" i="10"/>
  <c r="N31" i="10"/>
  <c r="O31" i="10"/>
  <c r="O25" i="10"/>
  <c r="N25" i="10"/>
  <c r="O41" i="10"/>
  <c r="N41" i="10"/>
  <c r="O50" i="11"/>
  <c r="N44" i="10"/>
  <c r="O44" i="10"/>
  <c r="N37" i="10"/>
  <c r="O37" i="10"/>
  <c r="N23" i="10"/>
  <c r="O23" i="10"/>
  <c r="N48" i="10"/>
  <c r="O48" i="10"/>
  <c r="M38" i="13"/>
  <c r="L38" i="13" s="1"/>
  <c r="N37" i="13"/>
  <c r="L37" i="13" s="1"/>
  <c r="M30" i="13"/>
  <c r="L30" i="13" s="1"/>
  <c r="O41" i="11"/>
  <c r="N34" i="13"/>
  <c r="L34" i="13" s="1"/>
  <c r="M25" i="13"/>
  <c r="L25" i="13" s="1"/>
  <c r="N40" i="13"/>
  <c r="M40" i="13"/>
  <c r="M39" i="13"/>
  <c r="N39" i="13"/>
  <c r="O47" i="11"/>
  <c r="O45" i="11"/>
  <c r="O13" i="11"/>
  <c r="O28" i="11"/>
  <c r="O40" i="11"/>
  <c r="O46" i="11"/>
  <c r="O33" i="11"/>
  <c r="O55" i="11"/>
  <c r="O43" i="11"/>
  <c r="O39" i="11"/>
  <c r="O22" i="11"/>
  <c r="O56" i="11"/>
  <c r="O15" i="11"/>
  <c r="O16" i="11"/>
  <c r="O12" i="11"/>
  <c r="O10" i="11"/>
  <c r="O19" i="11"/>
  <c r="O25" i="11"/>
  <c r="O26" i="11"/>
  <c r="O51" i="11"/>
  <c r="O35" i="11"/>
  <c r="O21" i="11"/>
  <c r="O11" i="11"/>
  <c r="O18" i="11"/>
  <c r="O44" i="11"/>
  <c r="O9" i="11"/>
  <c r="O29" i="11"/>
  <c r="O48" i="11"/>
  <c r="O38" i="11"/>
  <c r="O53" i="11"/>
  <c r="O31" i="11"/>
  <c r="O54" i="11"/>
  <c r="O23" i="11"/>
  <c r="O37" i="11"/>
  <c r="O14" i="11"/>
  <c r="O32" i="11"/>
  <c r="O36" i="11"/>
  <c r="O42" i="11"/>
  <c r="O20" i="11"/>
  <c r="O30" i="11"/>
  <c r="O52" i="11"/>
  <c r="O34" i="11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27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P3" i="10"/>
  <c r="N3" i="13"/>
  <c r="M3" i="13"/>
  <c r="P19" i="10"/>
  <c r="P4" i="10"/>
  <c r="P45" i="10"/>
  <c r="P29" i="10"/>
  <c r="P26" i="10"/>
  <c r="P12" i="10"/>
  <c r="P28" i="10"/>
  <c r="P16" i="10"/>
  <c r="P9" i="10"/>
  <c r="P41" i="10"/>
  <c r="P38" i="10"/>
  <c r="P5" i="10"/>
  <c r="P10" i="10"/>
  <c r="P7" i="10"/>
  <c r="P42" i="10"/>
  <c r="P33" i="10"/>
  <c r="P13" i="10"/>
  <c r="P46" i="10"/>
  <c r="P22" i="10"/>
  <c r="P36" i="10"/>
  <c r="P44" i="10"/>
  <c r="P40" i="10"/>
  <c r="P32" i="10"/>
  <c r="P17" i="10"/>
  <c r="P27" i="10"/>
  <c r="P6" i="10"/>
  <c r="P39" i="10"/>
  <c r="P49" i="10"/>
  <c r="P30" i="10"/>
  <c r="P31" i="10"/>
  <c r="P47" i="10"/>
  <c r="P20" i="10"/>
  <c r="P18" i="10"/>
  <c r="P15" i="10"/>
  <c r="P34" i="10"/>
  <c r="P35" i="10"/>
  <c r="P48" i="10"/>
  <c r="P37" i="10"/>
  <c r="P24" i="10"/>
  <c r="P8" i="10"/>
  <c r="P25" i="10"/>
  <c r="P50" i="10"/>
  <c r="P43" i="10"/>
  <c r="P14" i="10"/>
  <c r="P11" i="10"/>
  <c r="P21" i="10"/>
  <c r="P23" i="10"/>
  <c r="L3" i="1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<sst xmlns="http://schemas.openxmlformats.org/spreadsheetml/2006/main" count="697" uniqueCount="211">
  <si>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</si>
  <si>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</si>
  <si>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</si>
  <si>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</si>
  <si>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</si>
  <si>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</si>
  <si>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</si>
  <si>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</si>
  <si>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</si>
  <si>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</si>
  <si>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</si>
  <si>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</si>
  <si>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</si>
  <si>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</si>
  <si>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</si>
  <si>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</si>
  <si>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</si>
  <si>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</si>
  <si>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</si>
  <si>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</si>
  <si>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</si>
  <si>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</si>
  <si>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</si>
  <si>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</si>
  <si>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</si>
  <si>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</si>
  <si>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</si>
  <si>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</si>
  <si>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</si>
  <si>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</si>
  <si>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</si>
  <si>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</si>
  <si>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</si>
  <si>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</si>
  <si>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</si>
  <si>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</si>
  <si>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</si>
  <si>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</si>
  <si>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</si>
  <si>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</si>
  <si>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</si>
  <si>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</si>
  <si>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</si>
  <si>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</si>
  <si>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</si>
  <si>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</si>
  <si>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</si>
  <si>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</si>
  <si>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</si>
  <si>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</si>
  <si>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</si>
  <si>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</si>
  <si>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</si>
  <si>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</si>
  <si>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</si>
  <si>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</si>
  <si>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</si>
  <si>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</si>
  <si>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</si>
  <si>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</si>
  <si>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</si>
  <si>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</si>
  <si>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</si>
  <si>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</si>
  <si>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AEG</t>
  </si>
  <si>
    <t>AEG01</t>
  </si>
  <si>
    <t>AEG02</t>
  </si>
  <si>
    <t>AEG03</t>
  </si>
  <si>
    <t>AEG04</t>
  </si>
  <si>
    <t>AEG06</t>
  </si>
  <si>
    <t>AEG08</t>
  </si>
  <si>
    <t>AEG09</t>
  </si>
  <si>
    <t>AEG11</t>
  </si>
  <si>
    <t>AEG12</t>
  </si>
  <si>
    <t>AEG13</t>
  </si>
  <si>
    <t>AEG14</t>
  </si>
  <si>
    <t>AEG15</t>
  </si>
  <si>
    <t>AEG16</t>
  </si>
  <si>
    <t>AEG17</t>
  </si>
  <si>
    <t>AEG18</t>
  </si>
  <si>
    <t>AEG19</t>
  </si>
  <si>
    <t>AEG20</t>
  </si>
  <si>
    <t>AEG21</t>
  </si>
  <si>
    <t>AEG22</t>
  </si>
  <si>
    <t>AEG23</t>
  </si>
  <si>
    <t>AEG24</t>
  </si>
  <si>
    <t>AEG25</t>
  </si>
  <si>
    <t>AEG26</t>
  </si>
  <si>
    <t>AEG27</t>
  </si>
  <si>
    <t>AEG28</t>
  </si>
  <si>
    <t>AEG29</t>
  </si>
  <si>
    <t>AEG30</t>
  </si>
  <si>
    <t>AEG31</t>
  </si>
  <si>
    <t>AEG32</t>
  </si>
  <si>
    <t>AEG33</t>
  </si>
  <si>
    <t>AEG34</t>
  </si>
  <si>
    <t>AEG35</t>
  </si>
  <si>
    <t>AEG36</t>
  </si>
  <si>
    <t>AEG37</t>
  </si>
  <si>
    <t>AEG38</t>
  </si>
  <si>
    <t>AEG39</t>
  </si>
  <si>
    <t>AEG40</t>
  </si>
  <si>
    <t>AEG41</t>
  </si>
  <si>
    <t>AEG42</t>
  </si>
  <si>
    <t>AEG43</t>
  </si>
  <si>
    <t>AEG44</t>
  </si>
  <si>
    <t>AEG45</t>
  </si>
  <si>
    <t>AEG46</t>
  </si>
  <si>
    <t>AEG47</t>
  </si>
  <si>
    <t>AEG50</t>
  </si>
  <si>
    <t>AEG51</t>
  </si>
  <si>
    <t>AEG52</t>
  </si>
  <si>
    <t>AEG53</t>
  </si>
  <si>
    <t>AEG54</t>
  </si>
  <si>
    <t>AEG55</t>
  </si>
  <si>
    <t>AEG56</t>
  </si>
  <si>
    <t>AEG57</t>
  </si>
  <si>
    <t>AEG58</t>
  </si>
  <si>
    <t>AEG59</t>
  </si>
  <si>
    <t>AEG60</t>
  </si>
  <si>
    <t>AEG61</t>
  </si>
  <si>
    <t>AEG62</t>
  </si>
  <si>
    <t>Medio</t>
  </si>
  <si>
    <t>Mar</t>
  </si>
  <si>
    <t>Cerro</t>
  </si>
  <si>
    <t>Grupo Viento</t>
  </si>
  <si>
    <t>Parque</t>
  </si>
  <si>
    <t>Lomitas</t>
  </si>
  <si>
    <t>Expansión</t>
  </si>
  <si>
    <t>Potencia</t>
  </si>
  <si>
    <t>Barra</t>
  </si>
  <si>
    <t>A</t>
  </si>
  <si>
    <t>B</t>
  </si>
  <si>
    <t>Barra A - 5.2 - Cerro</t>
  </si>
  <si>
    <t>Barra A - 5.2 - Medio</t>
  </si>
  <si>
    <t>Barra A - 5.2 - Mar</t>
  </si>
  <si>
    <t>Barra B - 5.2 - Cerro</t>
  </si>
  <si>
    <t>Barra B - 5.2 - Medio</t>
  </si>
  <si>
    <t>Barra B - 5.2 - Mar</t>
  </si>
  <si>
    <t>Barra B - 5.0 - Cerro</t>
  </si>
  <si>
    <t>Barra B - 5.0 - Mar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</si>
  <si>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</si>
  <si>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</si>
  <si>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</si>
  <si>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</si>
  <si>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</si>
  <si>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</si>
  <si>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</si>
  <si>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</si>
  <si>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</si>
  <si>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</si>
  <si>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</si>
  <si>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</si>
  <si>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</si>
  <si>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</si>
  <si>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</si>
  <si>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</si>
  <si>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</si>
  <si>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</si>
  <si>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</si>
  <si>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</si>
  <si>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</si>
  <si>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</si>
  <si>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</si>
  <si>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</si>
  <si>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</si>
  <si>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</si>
  <si>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</si>
  <si>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</si>
  <si>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</si>
  <si>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</si>
  <si>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</si>
  <si>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</si>
  <si>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</si>
  <si>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</si>
  <si>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</si>
  <si>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</si>
  <si>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</si>
  <si>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</si>
  <si>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</si>
  <si>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Data Darwin</t>
  </si>
  <si>
    <t>AEGs Cerro</t>
  </si>
  <si>
    <t>AEGs Medio</t>
  </si>
  <si>
    <t>AEGs Mar</t>
  </si>
  <si>
    <t>Variación viento por Ubicación de AEGs</t>
  </si>
  <si>
    <t>Viento Ejecutado AEG31</t>
  </si>
  <si>
    <t>Darwin4RES - Forecaster</t>
  </si>
  <si>
    <t>Viento
m/s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</si>
  <si>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</si>
  <si>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</si>
  <si>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</si>
  <si>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</si>
  <si>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</si>
  <si>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</si>
  <si>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</si>
  <si>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</si>
  <si>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</si>
  <si>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TOTAL AEG E/S</t>
  </si>
  <si>
    <t>Wednesday 21</t>
  </si>
  <si>
    <t>14°</t>
  </si>
  <si>
    <t>Thursday 22</t>
  </si>
  <si>
    <t>Friday 23</t>
  </si>
  <si>
    <t>Saturday 24</t>
  </si>
  <si>
    <t>PRONOSTICO OPERACIÓN AEROGENERADORES DIARIO</t>
  </si>
  <si>
    <t>Generación Pronosticada PE Punta Lomitas&amp;Expansión</t>
  </si>
  <si>
    <t>MW Totales</t>
  </si>
  <si>
    <t>PLANTILLA PARA REPORTE A CCE: VIENTO EJECUTADO, GENERACIÓN PROYECTADA</t>
  </si>
  <si>
    <t>DIA EJECUTADO</t>
  </si>
  <si>
    <t>HORA INICIO EVALUACIÓN PRONOSTICO</t>
  </si>
  <si>
    <t>Carga a Limitar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</si>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</sst>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0.0"/>
    <numFmt numFmtId="165" formatCode="0.000"/>
    <numFmt numFmtId="166" formatCode="d\.mmm\.yyyy"/>
    <numFmt numFmtId="167" formatCode="_-* #,##0.0_-;\-* #,##0.0_-;_-* &quot;-&quot;??_-;_-@_-"/>
    <numFmt numFmtId="168" formatCode="ddd\ d\.mmm\.yyyy"/>
    <numFmt numFmtId="169" formatCode="dddd\ d/mmm/yyyy"/>
  </numFmts>
  <fonts count="1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  <border>
      <left style="medium">
        <color indexed="64"/>
      </left>
      <right/>
      <top style="medium">
        <color theme="0" tint="-0.24994659260841701"/>
      </top>
      <bottom/>
      <diagonal/>
    </border>
    <border>
      <left/>
      <right/>
      <top style="medium">
        <color theme="0" tint="-0.24994659260841701"/>
      </top>
      <bottom/>
      <diagonal/>
    </border>
    <border>
      <left/>
      <right style="medium">
        <color indexed="64"/>
      </right>
      <top style="medium">
        <color theme="0" tint="-0.24994659260841701"/>
      </top>
      <bottom/>
      <diagonal/>
    </border>
  </borders>
  <cellStyleXfs count="3">
    <xf numFmtId="0" fontId="0" fillId="0" borderId="0"/>
    <xf numFmtId="43" fontId="4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14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4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4" fontId="2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66" fontId="2" fillId="0" borderId="0" xfId="0" applyNumberFormat="1" applyFont="1" applyAlignment="1">
      <alignment horizontal="center" vertical="center" textRotation="90"/>
    </xf>
    <xf numFmtId="9" fontId="2" fillId="0" borderId="0" xfId="0" applyNumberFormat="1" applyFont="1"/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5" fontId="6" fillId="6" borderId="0" xfId="0" applyNumberFormat="1" applyFont="1" applyFill="1"/>
    <xf numFmtId="164" fontId="6" fillId="6" borderId="0" xfId="0" applyNumberFormat="1" applyFont="1" applyFill="1"/>
    <xf numFmtId="0" fontId="6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4" fontId="6" fillId="9" borderId="0" xfId="0" applyNumberFormat="1" applyFont="1" applyFill="1"/>
    <xf numFmtId="164" fontId="6" fillId="10" borderId="0" xfId="0" applyNumberFormat="1" applyFont="1" applyFill="1"/>
    <xf numFmtId="0" fontId="6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20" fontId="0" fillId="0" borderId="10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0" fontId="7" fillId="0" borderId="0" xfId="0" applyFont="1"/>
    <xf numFmtId="169" fontId="2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/>
    </xf>
    <xf numFmtId="0" fontId="5" fillId="0" borderId="0" xfId="0" applyFont="1"/>
    <xf numFmtId="167" fontId="5" fillId="0" borderId="0" xfId="1" applyNumberFormat="1" applyFont="1" applyBorder="1"/>
    <xf numFmtId="43" fontId="5" fillId="0" borderId="0" xfId="1" applyFont="1" applyBorder="1"/>
    <xf numFmtId="0" fontId="7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169" fontId="2" fillId="6" borderId="4" xfId="0" applyNumberFormat="1" applyFont="1" applyFill="1" applyBorder="1" applyAlignment="1">
      <alignment horizontal="center"/>
    </xf>
    <xf numFmtId="20" fontId="2" fillId="6" borderId="0" xfId="0" applyNumberFormat="1" applyFont="1" applyFill="1" applyAlignment="1">
      <alignment horizontal="center"/>
    </xf>
    <xf numFmtId="169" fontId="2" fillId="6" borderId="6" xfId="0" applyNumberFormat="1" applyFont="1" applyFill="1" applyBorder="1" applyAlignment="1">
      <alignment horizontal="center"/>
    </xf>
    <xf numFmtId="20" fontId="2" fillId="6" borderId="7" xfId="0" applyNumberFormat="1" applyFont="1" applyFill="1" applyBorder="1" applyAlignment="1">
      <alignment horizontal="center"/>
    </xf>
    <xf numFmtId="0" fontId="2" fillId="12" borderId="5" xfId="0" applyFont="1" applyFill="1" applyBorder="1" applyAlignment="1">
      <alignment horizontal="center"/>
    </xf>
    <xf numFmtId="0" fontId="2" fillId="12" borderId="8" xfId="0" applyFont="1" applyFill="1" applyBorder="1" applyAlignment="1">
      <alignment horizontal="center"/>
    </xf>
    <xf numFmtId="0" fontId="7" fillId="0" borderId="11" xfId="0" applyFont="1" applyBorder="1" applyAlignment="1">
      <alignment vertical="center"/>
    </xf>
    <xf numFmtId="167" fontId="2" fillId="0" borderId="0" xfId="1" applyNumberFormat="1" applyFont="1" applyAlignment="1">
      <alignment horizontal="center"/>
    </xf>
    <xf numFmtId="0" fontId="0" fillId="13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164" fontId="2" fillId="0" borderId="9" xfId="0" applyNumberFormat="1" applyFont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11" borderId="9" xfId="0" applyFont="1" applyFill="1" applyBorder="1" applyAlignment="1">
      <alignment horizontal="center"/>
    </xf>
    <xf numFmtId="0" fontId="5" fillId="0" borderId="21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top"/>
    </xf>
    <xf numFmtId="20" fontId="5" fillId="10" borderId="9" xfId="0" applyNumberFormat="1" applyFont="1" applyFill="1" applyBorder="1" applyAlignment="1">
      <alignment horizontal="center" vertical="center"/>
    </xf>
    <xf numFmtId="168" fontId="2" fillId="14" borderId="9" xfId="0" applyNumberFormat="1" applyFont="1" applyFill="1" applyBorder="1" applyAlignment="1">
      <alignment horizontal="center" vertical="center" textRotation="90"/>
    </xf>
    <xf numFmtId="43" fontId="0" fillId="0" borderId="0" xfId="1" applyFont="1"/>
    <xf numFmtId="14" fontId="0" fillId="0" borderId="0" xfId="0" applyNumberFormat="1"/>
    <xf numFmtId="22" fontId="0" fillId="0" borderId="0" xfId="0" applyNumberFormat="1"/>
    <xf numFmtId="43" fontId="0" fillId="0" borderId="0" xfId="0" applyNumberFormat="1"/>
    <xf numFmtId="2" fontId="0" fillId="15" borderId="24" xfId="0" applyNumberFormat="1" applyFill="1" applyBorder="1" applyAlignment="1">
      <alignment horizontal="center"/>
    </xf>
    <xf numFmtId="2" fontId="0" fillId="0" borderId="24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25" xfId="0" applyNumberFormat="1" applyBorder="1" applyAlignment="1">
      <alignment horizontal="center"/>
    </xf>
    <xf numFmtId="0" fontId="9" fillId="16" borderId="0" xfId="0" applyFont="1" applyFill="1"/>
    <xf numFmtId="0" fontId="9" fillId="16" borderId="0" xfId="0" applyFont="1" applyFill="1" applyAlignment="1">
      <alignment horizontal="center" vertical="center"/>
    </xf>
    <xf numFmtId="0" fontId="10" fillId="16" borderId="0" xfId="0" applyFont="1" applyFill="1"/>
    <xf numFmtId="0" fontId="0" fillId="16" borderId="0" xfId="0" applyFill="1" applyAlignment="1">
      <alignment horizontal="center"/>
    </xf>
    <xf numFmtId="0" fontId="5" fillId="0" borderId="0" xfId="0" applyFont="1" applyAlignment="1">
      <alignment horizontal="center" vertical="center"/>
    </xf>
    <xf numFmtId="0" fontId="11" fillId="0" borderId="9" xfId="0" applyFont="1" applyBorder="1" applyAlignment="1">
      <alignment horizontal="center"/>
    </xf>
    <xf numFmtId="168" fontId="2" fillId="16" borderId="9" xfId="0" applyNumberFormat="1" applyFont="1" applyFill="1" applyBorder="1" applyAlignment="1">
      <alignment horizontal="center" vertical="center" textRotation="90"/>
    </xf>
    <xf numFmtId="169" fontId="0" fillId="0" borderId="10" xfId="0" applyNumberFormat="1" applyBorder="1" applyAlignment="1">
      <alignment horizontal="center"/>
    </xf>
    <xf numFmtId="169" fontId="0" fillId="0" borderId="0" xfId="0" applyNumberFormat="1" applyAlignment="1">
      <alignment horizontal="center"/>
    </xf>
    <xf numFmtId="0" fontId="13" fillId="0" borderId="9" xfId="0" applyFont="1" applyBorder="1" applyAlignment="1">
      <alignment horizontal="center"/>
    </xf>
    <xf numFmtId="164" fontId="13" fillId="0" borderId="9" xfId="0" applyNumberFormat="1" applyFont="1" applyBorder="1" applyAlignment="1">
      <alignment horizontal="center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5" fillId="0" borderId="12" xfId="0" applyFont="1" applyBorder="1"/>
    <xf numFmtId="0" fontId="15" fillId="0" borderId="14" xfId="0" applyFont="1" applyBorder="1"/>
    <xf numFmtId="0" fontId="0" fillId="0" borderId="13" xfId="0" applyBorder="1"/>
    <xf numFmtId="164" fontId="2" fillId="11" borderId="5" xfId="0" applyNumberFormat="1" applyFont="1" applyFill="1" applyBorder="1" applyAlignment="1">
      <alignment horizontal="center"/>
    </xf>
    <xf numFmtId="164" fontId="2" fillId="11" borderId="8" xfId="0" applyNumberFormat="1" applyFont="1" applyFill="1" applyBorder="1" applyAlignment="1">
      <alignment horizontal="center"/>
    </xf>
    <xf numFmtId="169" fontId="2" fillId="6" borderId="26" xfId="0" applyNumberFormat="1" applyFont="1" applyFill="1" applyBorder="1" applyAlignment="1">
      <alignment horizontal="center"/>
    </xf>
    <xf numFmtId="20" fontId="2" fillId="6" borderId="27" xfId="0" applyNumberFormat="1" applyFont="1" applyFill="1" applyBorder="1" applyAlignment="1">
      <alignment horizontal="center"/>
    </xf>
    <xf numFmtId="164" fontId="2" fillId="11" borderId="28" xfId="0" applyNumberFormat="1" applyFont="1" applyFill="1" applyBorder="1" applyAlignment="1">
      <alignment horizontal="center"/>
    </xf>
    <xf numFmtId="0" fontId="16" fillId="0" borderId="9" xfId="0" applyFont="1" applyBorder="1"/>
    <xf numFmtId="167" fontId="16" fillId="0" borderId="9" xfId="1" applyNumberFormat="1" applyFont="1" applyBorder="1"/>
    <xf numFmtId="43" fontId="16" fillId="0" borderId="9" xfId="1" applyFont="1" applyBorder="1"/>
    <xf numFmtId="164" fontId="2" fillId="12" borderId="0" xfId="0" applyNumberFormat="1" applyFont="1" applyFill="1" applyAlignment="1">
      <alignment horizontal="center"/>
    </xf>
    <xf numFmtId="164" fontId="2" fillId="12" borderId="5" xfId="0" applyNumberFormat="1" applyFont="1" applyFill="1" applyBorder="1" applyAlignment="1">
      <alignment horizontal="center"/>
    </xf>
    <xf numFmtId="164" fontId="2" fillId="12" borderId="7" xfId="0" applyNumberFormat="1" applyFont="1" applyFill="1" applyBorder="1" applyAlignment="1">
      <alignment horizontal="center"/>
    </xf>
    <xf numFmtId="164" fontId="2" fillId="12" borderId="8" xfId="0" applyNumberFormat="1" applyFont="1" applyFill="1" applyBorder="1" applyAlignment="1">
      <alignment horizontal="center"/>
    </xf>
    <xf numFmtId="0" fontId="17" fillId="0" borderId="0" xfId="0" applyFont="1"/>
    <xf numFmtId="0" fontId="11" fillId="11" borderId="9" xfId="0" applyFont="1" applyFill="1" applyBorder="1" applyAlignment="1">
      <alignment horizontal="center"/>
    </xf>
    <xf numFmtId="20" fontId="2" fillId="12" borderId="0" xfId="0" applyNumberFormat="1" applyFont="1" applyFill="1" applyAlignment="1">
      <alignment horizontal="center"/>
    </xf>
    <xf numFmtId="169" fontId="2" fillId="12" borderId="0" xfId="0" applyNumberFormat="1" applyFont="1" applyFill="1" applyAlignment="1">
      <alignment horizontal="center"/>
    </xf>
    <xf numFmtId="0" fontId="16" fillId="0" borderId="9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8" fillId="6" borderId="12" xfId="2" applyFill="1" applyBorder="1" applyAlignment="1">
      <alignment horizontal="center"/>
    </xf>
    <xf numFmtId="0" fontId="8" fillId="6" borderId="14" xfId="2" applyFill="1" applyBorder="1" applyAlignment="1">
      <alignment horizontal="center"/>
    </xf>
    <xf numFmtId="0" fontId="8" fillId="6" borderId="13" xfId="2" applyFill="1" applyBorder="1" applyAlignment="1">
      <alignment horizontal="center"/>
    </xf>
    <xf numFmtId="0" fontId="12" fillId="17" borderId="9" xfId="0" applyFont="1" applyFill="1" applyBorder="1" applyAlignment="1">
      <alignment horizontal="left" vertical="center" wrapText="1"/>
    </xf>
    <xf numFmtId="0" fontId="14" fillId="17" borderId="0" xfId="0" applyFont="1" applyFill="1" applyAlignment="1">
      <alignment horizontal="center" vertical="center" wrapText="1"/>
    </xf>
    <xf numFmtId="0" fontId="14" fillId="18" borderId="0" xfId="0" applyFont="1" applyFill="1" applyAlignment="1">
      <alignment horizontal="center" vertical="center" wrapText="1"/>
    </xf>
  </cellXfs>
  <cellStyles count="3">
    <cellStyle name="Comma" xfId="1" builtinId="3"/>
    <cellStyle name="Hyperlink" xfId="2" builtinId="8"/>
    <cellStyle name="Normal" xfId="0" builtinId="0"/>
  </cellStyles>
  <dxfs count="134">
    <dxf>
      <font>
        <color rgb="FF9C5700"/>
      </font>
      <fill>
        <patternFill>
          <bgColor rgb="FFFFEB9C"/>
        </patternFill>
      </fill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9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hartsheet" Target="chartsheets/sheet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'Plantilla Datos'!$M$7</c:f>
          <c:strCache>
            <c:ptCount val="1"/>
            <c:pt idx="0">
              <c:v>Generación Pronosticada PE Punta Lomitas&amp;Expansión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70195206357140261"/>
        </c:manualLayout>
      </c:layout>
      <c:scatterChart>
        <c:scatterStyle val="smoothMarker"/>
        <c:varyColors val="0"/>
        <c:ser>
          <c:idx val="0"/>
          <c:order val="0"/>
          <c:tx>
            <c:v>MW Pronostico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45584.083333333336</c:v>
                </c:pt>
                <c:pt idx="1">
                  <c:v>45584.125</c:v>
                </c:pt>
                <c:pt idx="2">
                  <c:v>45584.166666666664</c:v>
                </c:pt>
                <c:pt idx="3">
                  <c:v>45584.208333333328</c:v>
                </c:pt>
                <c:pt idx="4">
                  <c:v>45584.249999999993</c:v>
                </c:pt>
                <c:pt idx="5">
                  <c:v>45584.291666666657</c:v>
                </c:pt>
                <c:pt idx="6">
                  <c:v>45584.333333333321</c:v>
                </c:pt>
                <c:pt idx="7">
                  <c:v>45584.374999999985</c:v>
                </c:pt>
                <c:pt idx="8">
                  <c:v>45584.41666666665</c:v>
                </c:pt>
                <c:pt idx="9">
                  <c:v>45584.458333333314</c:v>
                </c:pt>
                <c:pt idx="10">
                  <c:v>45584.499999999978</c:v>
                </c:pt>
                <c:pt idx="11">
                  <c:v>45584.541666666642</c:v>
                </c:pt>
                <c:pt idx="12">
                  <c:v>45584.583333333307</c:v>
                </c:pt>
                <c:pt idx="13">
                  <c:v>45584.624999999971</c:v>
                </c:pt>
                <c:pt idx="14">
                  <c:v>45584.666666666635</c:v>
                </c:pt>
                <c:pt idx="15">
                  <c:v>45584.708333333299</c:v>
                </c:pt>
                <c:pt idx="16">
                  <c:v>45584.749999999964</c:v>
                </c:pt>
                <c:pt idx="17">
                  <c:v>45584.791666666628</c:v>
                </c:pt>
                <c:pt idx="18">
                  <c:v>45584.833333333292</c:v>
                </c:pt>
                <c:pt idx="19">
                  <c:v>45584.874999999956</c:v>
                </c:pt>
                <c:pt idx="20">
                  <c:v>45584.916666666621</c:v>
                </c:pt>
                <c:pt idx="21">
                  <c:v>45584.958333333285</c:v>
                </c:pt>
                <c:pt idx="22">
                  <c:v>45584.999999999949</c:v>
                </c:pt>
                <c:pt idx="23">
                  <c:v>45585.041666666613</c:v>
                </c:pt>
                <c:pt idx="24">
                  <c:v>45585.083333333278</c:v>
                </c:pt>
                <c:pt idx="25">
                  <c:v>45585.124999999942</c:v>
                </c:pt>
                <c:pt idx="26">
                  <c:v>45585.166666666606</c:v>
                </c:pt>
                <c:pt idx="27">
                  <c:v>45585.20833333327</c:v>
                </c:pt>
                <c:pt idx="28">
                  <c:v>45585.249999999935</c:v>
                </c:pt>
                <c:pt idx="29">
                  <c:v>45585.291666666599</c:v>
                </c:pt>
                <c:pt idx="30">
                  <c:v>45585.333333333263</c:v>
                </c:pt>
                <c:pt idx="31">
                  <c:v>45585.374999999927</c:v>
                </c:pt>
                <c:pt idx="32">
                  <c:v>45585.416666666591</c:v>
                </c:pt>
                <c:pt idx="33">
                  <c:v>45585.458333333256</c:v>
                </c:pt>
                <c:pt idx="34">
                  <c:v>45585.49999999992</c:v>
                </c:pt>
                <c:pt idx="35">
                  <c:v>45585.541666666584</c:v>
                </c:pt>
                <c:pt idx="36">
                  <c:v>45585.583333333248</c:v>
                </c:pt>
                <c:pt idx="37">
                  <c:v>45585.624999999913</c:v>
                </c:pt>
                <c:pt idx="38">
                  <c:v>45585.666666666577</c:v>
                </c:pt>
                <c:pt idx="39">
                  <c:v>45585.708333333241</c:v>
                </c:pt>
                <c:pt idx="40">
                  <c:v>45585.749999999905</c:v>
                </c:pt>
                <c:pt idx="41">
                  <c:v>45585.79166666657</c:v>
                </c:pt>
                <c:pt idx="42">
                  <c:v>45585.833333333234</c:v>
                </c:pt>
                <c:pt idx="43">
                  <c:v>45585.874999999898</c:v>
                </c:pt>
                <c:pt idx="44">
                  <c:v>45585.916666666562</c:v>
                </c:pt>
                <c:pt idx="45">
                  <c:v>45585.958333333227</c:v>
                </c:pt>
                <c:pt idx="46">
                  <c:v>45585.999999999891</c:v>
                </c:pt>
                <c:pt idx="47">
                  <c:v>45586.041666666555</c:v>
                </c:pt>
                <c:pt idx="48">
                  <c:v>45586.083333333219</c:v>
                </c:pt>
                <c:pt idx="49">
                  <c:v>45586.124999999884</c:v>
                </c:pt>
                <c:pt idx="50">
                  <c:v>45586.166666666548</c:v>
                </c:pt>
                <c:pt idx="51">
                  <c:v>45586.208333333212</c:v>
                </c:pt>
                <c:pt idx="52">
                  <c:v>45586.249999999876</c:v>
                </c:pt>
                <c:pt idx="53">
                  <c:v>45586.291666666541</c:v>
                </c:pt>
                <c:pt idx="54">
                  <c:v>45586.333333333205</c:v>
                </c:pt>
                <c:pt idx="55">
                  <c:v>45586.374999999869</c:v>
                </c:pt>
                <c:pt idx="56">
                  <c:v>45586.416666666533</c:v>
                </c:pt>
                <c:pt idx="57">
                  <c:v>45586.458333333198</c:v>
                </c:pt>
                <c:pt idx="58">
                  <c:v>45586.499999999862</c:v>
                </c:pt>
                <c:pt idx="59">
                  <c:v>45586.541666666526</c:v>
                </c:pt>
                <c:pt idx="60">
                  <c:v>45586.58333333319</c:v>
                </c:pt>
                <c:pt idx="61">
                  <c:v>45586.624999999854</c:v>
                </c:pt>
                <c:pt idx="62">
                  <c:v>45586.666666666519</c:v>
                </c:pt>
                <c:pt idx="63">
                  <c:v>45586.708333333183</c:v>
                </c:pt>
                <c:pt idx="64">
                  <c:v>45586.749999999847</c:v>
                </c:pt>
                <c:pt idx="65">
                  <c:v>45586.791666666511</c:v>
                </c:pt>
                <c:pt idx="66">
                  <c:v>45586.833333333176</c:v>
                </c:pt>
                <c:pt idx="67">
                  <c:v>45586.87499999984</c:v>
                </c:pt>
                <c:pt idx="68">
                  <c:v>45586.916666666504</c:v>
                </c:pt>
                <c:pt idx="69">
                  <c:v>45586.958333333168</c:v>
                </c:pt>
              </c:numCache>
            </c:numRef>
          </c:xVal>
          <c:yVal>
            <c:numRef>
              <c:f>'Darwin Procesada'!$D$4:$D$73</c:f>
              <c:numCache>
                <c:formatCode>0.0</c:formatCode>
                <c:ptCount val="70"/>
                <c:pt idx="0">
                  <c:v>1.42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3.85</c:v>
                </c:pt>
                <c:pt idx="8">
                  <c:v>3.85</c:v>
                </c:pt>
                <c:pt idx="9">
                  <c:v>8.1169999999999991</c:v>
                </c:pt>
                <c:pt idx="10">
                  <c:v>8.1169999999999991</c:v>
                </c:pt>
                <c:pt idx="11">
                  <c:v>8.1169999999999991</c:v>
                </c:pt>
                <c:pt idx="12">
                  <c:v>17.933</c:v>
                </c:pt>
                <c:pt idx="13">
                  <c:v>20.536999999999999</c:v>
                </c:pt>
                <c:pt idx="14">
                  <c:v>20.536999999999999</c:v>
                </c:pt>
                <c:pt idx="15">
                  <c:v>27.19</c:v>
                </c:pt>
                <c:pt idx="16">
                  <c:v>44.189</c:v>
                </c:pt>
                <c:pt idx="17">
                  <c:v>59.294999999999995</c:v>
                </c:pt>
                <c:pt idx="18">
                  <c:v>48.314000000000007</c:v>
                </c:pt>
                <c:pt idx="19">
                  <c:v>36.831000000000003</c:v>
                </c:pt>
                <c:pt idx="20">
                  <c:v>35.048999999999999</c:v>
                </c:pt>
                <c:pt idx="21">
                  <c:v>27.19</c:v>
                </c:pt>
                <c:pt idx="22">
                  <c:v>27.19</c:v>
                </c:pt>
                <c:pt idx="23">
                  <c:v>27.19</c:v>
                </c:pt>
                <c:pt idx="24">
                  <c:v>13.628</c:v>
                </c:pt>
                <c:pt idx="25">
                  <c:v>8.1169999999999991</c:v>
                </c:pt>
                <c:pt idx="26">
                  <c:v>1.42</c:v>
                </c:pt>
                <c:pt idx="27">
                  <c:v>1.42</c:v>
                </c:pt>
                <c:pt idx="28">
                  <c:v>1.42</c:v>
                </c:pt>
                <c:pt idx="29">
                  <c:v>0</c:v>
                </c:pt>
                <c:pt idx="30">
                  <c:v>4.508</c:v>
                </c:pt>
                <c:pt idx="31">
                  <c:v>13.628</c:v>
                </c:pt>
                <c:pt idx="32">
                  <c:v>27.19</c:v>
                </c:pt>
                <c:pt idx="33">
                  <c:v>35.048999999999999</c:v>
                </c:pt>
                <c:pt idx="34">
                  <c:v>44.189</c:v>
                </c:pt>
                <c:pt idx="35">
                  <c:v>56.915000000000006</c:v>
                </c:pt>
                <c:pt idx="36">
                  <c:v>56.915000000000006</c:v>
                </c:pt>
                <c:pt idx="37">
                  <c:v>71.733000000000004</c:v>
                </c:pt>
                <c:pt idx="38">
                  <c:v>88.746999999999986</c:v>
                </c:pt>
                <c:pt idx="39">
                  <c:v>88.746999999999986</c:v>
                </c:pt>
                <c:pt idx="40">
                  <c:v>88.746999999999986</c:v>
                </c:pt>
                <c:pt idx="41">
                  <c:v>88.746999999999986</c:v>
                </c:pt>
                <c:pt idx="42">
                  <c:v>100.90100000000001</c:v>
                </c:pt>
                <c:pt idx="43">
                  <c:v>100.90100000000001</c:v>
                </c:pt>
                <c:pt idx="44">
                  <c:v>100.90100000000001</c:v>
                </c:pt>
                <c:pt idx="45">
                  <c:v>88.746999999999986</c:v>
                </c:pt>
                <c:pt idx="46">
                  <c:v>79.186999999999998</c:v>
                </c:pt>
                <c:pt idx="47">
                  <c:v>63.076999999999998</c:v>
                </c:pt>
                <c:pt idx="48">
                  <c:v>40.722999999999999</c:v>
                </c:pt>
                <c:pt idx="49">
                  <c:v>28.465</c:v>
                </c:pt>
                <c:pt idx="50">
                  <c:v>15.102</c:v>
                </c:pt>
                <c:pt idx="51">
                  <c:v>15.102</c:v>
                </c:pt>
                <c:pt idx="52">
                  <c:v>15.102</c:v>
                </c:pt>
                <c:pt idx="53">
                  <c:v>15.102</c:v>
                </c:pt>
                <c:pt idx="54">
                  <c:v>28.465</c:v>
                </c:pt>
                <c:pt idx="55">
                  <c:v>49.213000000000001</c:v>
                </c:pt>
                <c:pt idx="56">
                  <c:v>79.186999999999998</c:v>
                </c:pt>
                <c:pt idx="57">
                  <c:v>101.629</c:v>
                </c:pt>
                <c:pt idx="58">
                  <c:v>122.94799999999999</c:v>
                </c:pt>
                <c:pt idx="59">
                  <c:v>160.476</c:v>
                </c:pt>
                <c:pt idx="60">
                  <c:v>160.476</c:v>
                </c:pt>
                <c:pt idx="61">
                  <c:v>179.61</c:v>
                </c:pt>
                <c:pt idx="62">
                  <c:v>182.655</c:v>
                </c:pt>
                <c:pt idx="63">
                  <c:v>199.93799999999999</c:v>
                </c:pt>
                <c:pt idx="64">
                  <c:v>199.93799999999999</c:v>
                </c:pt>
                <c:pt idx="65">
                  <c:v>217.79000000000002</c:v>
                </c:pt>
                <c:pt idx="66">
                  <c:v>203.38</c:v>
                </c:pt>
                <c:pt idx="67">
                  <c:v>199.93799999999999</c:v>
                </c:pt>
                <c:pt idx="68">
                  <c:v>188.511</c:v>
                </c:pt>
                <c:pt idx="69">
                  <c:v>143.17100000000002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91E-4ED7-8622-22A4CC7CAB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3"/>
          <c:order val="1"/>
          <c:tx>
            <c:v>Viento Pronostico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45584.083333333336</c:v>
                </c:pt>
                <c:pt idx="1">
                  <c:v>45584.125</c:v>
                </c:pt>
                <c:pt idx="2">
                  <c:v>45584.166666666664</c:v>
                </c:pt>
                <c:pt idx="3">
                  <c:v>45584.208333333328</c:v>
                </c:pt>
                <c:pt idx="4">
                  <c:v>45584.249999999993</c:v>
                </c:pt>
                <c:pt idx="5">
                  <c:v>45584.291666666657</c:v>
                </c:pt>
                <c:pt idx="6">
                  <c:v>45584.333333333321</c:v>
                </c:pt>
                <c:pt idx="7">
                  <c:v>45584.374999999985</c:v>
                </c:pt>
                <c:pt idx="8">
                  <c:v>45584.41666666665</c:v>
                </c:pt>
                <c:pt idx="9">
                  <c:v>45584.458333333314</c:v>
                </c:pt>
                <c:pt idx="10">
                  <c:v>45584.499999999978</c:v>
                </c:pt>
                <c:pt idx="11">
                  <c:v>45584.541666666642</c:v>
                </c:pt>
                <c:pt idx="12">
                  <c:v>45584.583333333307</c:v>
                </c:pt>
                <c:pt idx="13">
                  <c:v>45584.624999999971</c:v>
                </c:pt>
                <c:pt idx="14">
                  <c:v>45584.666666666635</c:v>
                </c:pt>
                <c:pt idx="15">
                  <c:v>45584.708333333299</c:v>
                </c:pt>
                <c:pt idx="16">
                  <c:v>45584.749999999964</c:v>
                </c:pt>
                <c:pt idx="17">
                  <c:v>45584.791666666628</c:v>
                </c:pt>
                <c:pt idx="18">
                  <c:v>45584.833333333292</c:v>
                </c:pt>
                <c:pt idx="19">
                  <c:v>45584.874999999956</c:v>
                </c:pt>
                <c:pt idx="20">
                  <c:v>45584.916666666621</c:v>
                </c:pt>
                <c:pt idx="21">
                  <c:v>45584.958333333285</c:v>
                </c:pt>
                <c:pt idx="22">
                  <c:v>45584.999999999949</c:v>
                </c:pt>
                <c:pt idx="23">
                  <c:v>45585.041666666613</c:v>
                </c:pt>
                <c:pt idx="24">
                  <c:v>45585.083333333278</c:v>
                </c:pt>
                <c:pt idx="25">
                  <c:v>45585.124999999942</c:v>
                </c:pt>
                <c:pt idx="26">
                  <c:v>45585.166666666606</c:v>
                </c:pt>
                <c:pt idx="27">
                  <c:v>45585.20833333327</c:v>
                </c:pt>
                <c:pt idx="28">
                  <c:v>45585.249999999935</c:v>
                </c:pt>
                <c:pt idx="29">
                  <c:v>45585.291666666599</c:v>
                </c:pt>
                <c:pt idx="30">
                  <c:v>45585.333333333263</c:v>
                </c:pt>
                <c:pt idx="31">
                  <c:v>45585.374999999927</c:v>
                </c:pt>
                <c:pt idx="32">
                  <c:v>45585.416666666591</c:v>
                </c:pt>
                <c:pt idx="33">
                  <c:v>45585.458333333256</c:v>
                </c:pt>
                <c:pt idx="34">
                  <c:v>45585.49999999992</c:v>
                </c:pt>
                <c:pt idx="35">
                  <c:v>45585.541666666584</c:v>
                </c:pt>
                <c:pt idx="36">
                  <c:v>45585.583333333248</c:v>
                </c:pt>
                <c:pt idx="37">
                  <c:v>45585.624999999913</c:v>
                </c:pt>
                <c:pt idx="38">
                  <c:v>45585.666666666577</c:v>
                </c:pt>
                <c:pt idx="39">
                  <c:v>45585.708333333241</c:v>
                </c:pt>
                <c:pt idx="40">
                  <c:v>45585.749999999905</c:v>
                </c:pt>
                <c:pt idx="41">
                  <c:v>45585.79166666657</c:v>
                </c:pt>
                <c:pt idx="42">
                  <c:v>45585.833333333234</c:v>
                </c:pt>
                <c:pt idx="43">
                  <c:v>45585.874999999898</c:v>
                </c:pt>
                <c:pt idx="44">
                  <c:v>45585.916666666562</c:v>
                </c:pt>
                <c:pt idx="45">
                  <c:v>45585.958333333227</c:v>
                </c:pt>
                <c:pt idx="46">
                  <c:v>45585.999999999891</c:v>
                </c:pt>
                <c:pt idx="47">
                  <c:v>45586.041666666555</c:v>
                </c:pt>
                <c:pt idx="48">
                  <c:v>45586.083333333219</c:v>
                </c:pt>
                <c:pt idx="49">
                  <c:v>45586.124999999884</c:v>
                </c:pt>
                <c:pt idx="50">
                  <c:v>45586.166666666548</c:v>
                </c:pt>
                <c:pt idx="51">
                  <c:v>45586.208333333212</c:v>
                </c:pt>
                <c:pt idx="52">
                  <c:v>45586.249999999876</c:v>
                </c:pt>
                <c:pt idx="53">
                  <c:v>45586.291666666541</c:v>
                </c:pt>
                <c:pt idx="54">
                  <c:v>45586.333333333205</c:v>
                </c:pt>
                <c:pt idx="55">
                  <c:v>45586.374999999869</c:v>
                </c:pt>
                <c:pt idx="56">
                  <c:v>45586.416666666533</c:v>
                </c:pt>
                <c:pt idx="57">
                  <c:v>45586.458333333198</c:v>
                </c:pt>
                <c:pt idx="58">
                  <c:v>45586.499999999862</c:v>
                </c:pt>
                <c:pt idx="59">
                  <c:v>45586.541666666526</c:v>
                </c:pt>
                <c:pt idx="60">
                  <c:v>45586.58333333319</c:v>
                </c:pt>
                <c:pt idx="61">
                  <c:v>45586.624999999854</c:v>
                </c:pt>
                <c:pt idx="62">
                  <c:v>45586.666666666519</c:v>
                </c:pt>
                <c:pt idx="63">
                  <c:v>45586.708333333183</c:v>
                </c:pt>
                <c:pt idx="64">
                  <c:v>45586.749999999847</c:v>
                </c:pt>
                <c:pt idx="65">
                  <c:v>45586.791666666511</c:v>
                </c:pt>
                <c:pt idx="66">
                  <c:v>45586.833333333176</c:v>
                </c:pt>
                <c:pt idx="67">
                  <c:v>45586.87499999984</c:v>
                </c:pt>
                <c:pt idx="68">
                  <c:v>45586.916666666504</c:v>
                </c:pt>
                <c:pt idx="69">
                  <c:v>45586.958333333168</c:v>
                </c:pt>
              </c:numCache>
            </c:numRef>
          </c:xVal>
          <c:yVal>
            <c:numRef>
              <c:f>'Darwin Procesada'!$H$4:$H$73</c:f>
              <c:numCache>
                <c:formatCode>General</c:formatCode>
                <c:ptCount val="70"/>
                <c:pt idx="0">
                  <c:v>2.7</c:v>
                </c:pt>
                <c:pt idx="1">
                  <c:v>2.1</c:v>
                </c:pt>
                <c:pt idx="2">
                  <c:v>1.9</c:v>
                </c:pt>
                <c:pt idx="3">
                  <c:v>1.8</c:v>
                </c:pt>
                <c:pt idx="4">
                  <c:v>1.2</c:v>
                </c:pt>
                <c:pt idx="5">
                  <c:v>1.3</c:v>
                </c:pt>
                <c:pt idx="6">
                  <c:v>2.2999999999999998</c:v>
                </c:pt>
                <c:pt idx="7">
                  <c:v>3.1</c:v>
                </c:pt>
                <c:pt idx="8">
                  <c:v>3.4</c:v>
                </c:pt>
                <c:pt idx="9">
                  <c:v>3.9</c:v>
                </c:pt>
                <c:pt idx="10">
                  <c:v>3.7</c:v>
                </c:pt>
                <c:pt idx="11">
                  <c:v>3.9</c:v>
                </c:pt>
                <c:pt idx="12">
                  <c:v>4.5999999999999996</c:v>
                </c:pt>
                <c:pt idx="13">
                  <c:v>4.9000000000000004</c:v>
                </c:pt>
                <c:pt idx="14">
                  <c:v>5</c:v>
                </c:pt>
                <c:pt idx="15">
                  <c:v>5.4</c:v>
                </c:pt>
                <c:pt idx="16">
                  <c:v>6.2</c:v>
                </c:pt>
                <c:pt idx="17">
                  <c:v>7</c:v>
                </c:pt>
                <c:pt idx="18">
                  <c:v>6.5</c:v>
                </c:pt>
                <c:pt idx="19">
                  <c:v>6</c:v>
                </c:pt>
                <c:pt idx="20">
                  <c:v>5.6</c:v>
                </c:pt>
                <c:pt idx="21">
                  <c:v>5.5</c:v>
                </c:pt>
                <c:pt idx="22">
                  <c:v>5.5</c:v>
                </c:pt>
                <c:pt idx="23">
                  <c:v>5.4</c:v>
                </c:pt>
                <c:pt idx="24">
                  <c:v>4.5</c:v>
                </c:pt>
                <c:pt idx="25">
                  <c:v>3.6</c:v>
                </c:pt>
                <c:pt idx="26">
                  <c:v>2.7</c:v>
                </c:pt>
                <c:pt idx="27">
                  <c:v>2.7</c:v>
                </c:pt>
                <c:pt idx="28">
                  <c:v>2.6</c:v>
                </c:pt>
                <c:pt idx="29">
                  <c:v>2.5</c:v>
                </c:pt>
                <c:pt idx="30">
                  <c:v>3.5</c:v>
                </c:pt>
                <c:pt idx="31">
                  <c:v>4.4000000000000004</c:v>
                </c:pt>
                <c:pt idx="32">
                  <c:v>5.4</c:v>
                </c:pt>
                <c:pt idx="33">
                  <c:v>5.8</c:v>
                </c:pt>
                <c:pt idx="34">
                  <c:v>6.2</c:v>
                </c:pt>
                <c:pt idx="35">
                  <c:v>6.9</c:v>
                </c:pt>
                <c:pt idx="36">
                  <c:v>6.9</c:v>
                </c:pt>
                <c:pt idx="37">
                  <c:v>7.3</c:v>
                </c:pt>
                <c:pt idx="38">
                  <c:v>7.7</c:v>
                </c:pt>
                <c:pt idx="39">
                  <c:v>7.8</c:v>
                </c:pt>
                <c:pt idx="40">
                  <c:v>7.9</c:v>
                </c:pt>
                <c:pt idx="41">
                  <c:v>8</c:v>
                </c:pt>
                <c:pt idx="42">
                  <c:v>8.1</c:v>
                </c:pt>
                <c:pt idx="43">
                  <c:v>8.1</c:v>
                </c:pt>
                <c:pt idx="44">
                  <c:v>8.1999999999999993</c:v>
                </c:pt>
                <c:pt idx="45">
                  <c:v>7.7</c:v>
                </c:pt>
                <c:pt idx="46">
                  <c:v>7.3</c:v>
                </c:pt>
                <c:pt idx="47">
                  <c:v>6.8</c:v>
                </c:pt>
                <c:pt idx="48">
                  <c:v>6</c:v>
                </c:pt>
                <c:pt idx="49">
                  <c:v>5.0999999999999996</c:v>
                </c:pt>
                <c:pt idx="50">
                  <c:v>4.2</c:v>
                </c:pt>
                <c:pt idx="51">
                  <c:v>4.2</c:v>
                </c:pt>
                <c:pt idx="52">
                  <c:v>4.2</c:v>
                </c:pt>
                <c:pt idx="53">
                  <c:v>4.2</c:v>
                </c:pt>
                <c:pt idx="54">
                  <c:v>5.2</c:v>
                </c:pt>
                <c:pt idx="55">
                  <c:v>6.1</c:v>
                </c:pt>
                <c:pt idx="56">
                  <c:v>7.1</c:v>
                </c:pt>
                <c:pt idx="57">
                  <c:v>7.7</c:v>
                </c:pt>
                <c:pt idx="58">
                  <c:v>8.4</c:v>
                </c:pt>
                <c:pt idx="59">
                  <c:v>9.1</c:v>
                </c:pt>
                <c:pt idx="60">
                  <c:v>9.3000000000000007</c:v>
                </c:pt>
                <c:pt idx="61">
                  <c:v>9.6</c:v>
                </c:pt>
                <c:pt idx="62">
                  <c:v>9.8000000000000007</c:v>
                </c:pt>
                <c:pt idx="63">
                  <c:v>10.1</c:v>
                </c:pt>
                <c:pt idx="64">
                  <c:v>10.3</c:v>
                </c:pt>
                <c:pt idx="65">
                  <c:v>10.6</c:v>
                </c:pt>
                <c:pt idx="66">
                  <c:v>10.4</c:v>
                </c:pt>
                <c:pt idx="67">
                  <c:v>10.199999999999999</c:v>
                </c:pt>
                <c:pt idx="68">
                  <c:v>10</c:v>
                </c:pt>
                <c:pt idx="69">
                  <c:v>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E65-4475-B481-F437ED9C82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5234944"/>
        <c:axId val="275232064"/>
      </c:scatterChart>
      <c:valAx>
        <c:axId val="1624705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125"/>
      </c:valAx>
      <c:valAx>
        <c:axId val="1636224272"/>
        <c:scaling>
          <c:orientation val="minMax"/>
          <c:max val="3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10"/>
      </c:valAx>
      <c:valAx>
        <c:axId val="275232064"/>
        <c:scaling>
          <c:orientation val="minMax"/>
          <c:max val="2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VIENTO</a:t>
                </a:r>
                <a:r>
                  <a:rPr lang="en-US" sz="1200" b="1" baseline="0"/>
                  <a:t> (m/s)</a:t>
                </a:r>
              </a:p>
            </c:rich>
          </c:tx>
          <c:layout>
            <c:manualLayout>
              <c:xMode val="edge"/>
              <c:yMode val="edge"/>
              <c:x val="0.97182474469986946"/>
              <c:y val="0.807621532392984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275234944"/>
        <c:crosses val="max"/>
        <c:crossBetween val="midCat"/>
        <c:majorUnit val="1"/>
      </c:valAx>
      <c:valAx>
        <c:axId val="275234944"/>
        <c:scaling>
          <c:orientation val="minMax"/>
        </c:scaling>
        <c:delete val="1"/>
        <c:axPos val="b"/>
        <c:numFmt formatCode="dddd\ d/mmm/yyyy" sourceLinked="1"/>
        <c:majorTickMark val="out"/>
        <c:minorTickMark val="none"/>
        <c:tickLblPos val="nextTo"/>
        <c:crossAx val="275232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PROYECCIÓN DE GENERACIÓN PLOME 18 Oct - 27 Oct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45583.083333333336</c:v>
                </c:pt>
                <c:pt idx="1">
                  <c:v>45583.125</c:v>
                </c:pt>
                <c:pt idx="2">
                  <c:v>45583.166666666664</c:v>
                </c:pt>
                <c:pt idx="3">
                  <c:v>45583.208333333328</c:v>
                </c:pt>
                <c:pt idx="4">
                  <c:v>45583.249999999993</c:v>
                </c:pt>
                <c:pt idx="5">
                  <c:v>45583.291666666657</c:v>
                </c:pt>
                <c:pt idx="6">
                  <c:v>45583.333333333321</c:v>
                </c:pt>
                <c:pt idx="7">
                  <c:v>45583.374999999985</c:v>
                </c:pt>
                <c:pt idx="8">
                  <c:v>45583.41666666665</c:v>
                </c:pt>
                <c:pt idx="9">
                  <c:v>45583.458333333314</c:v>
                </c:pt>
                <c:pt idx="10">
                  <c:v>45583.499999999978</c:v>
                </c:pt>
                <c:pt idx="11">
                  <c:v>45583.541666666642</c:v>
                </c:pt>
                <c:pt idx="12">
                  <c:v>45583.583333333307</c:v>
                </c:pt>
                <c:pt idx="13">
                  <c:v>45583.624999999971</c:v>
                </c:pt>
                <c:pt idx="14">
                  <c:v>45583.666666666635</c:v>
                </c:pt>
                <c:pt idx="15">
                  <c:v>45583.708333333299</c:v>
                </c:pt>
                <c:pt idx="16">
                  <c:v>45583.749999999964</c:v>
                </c:pt>
                <c:pt idx="17">
                  <c:v>45583.791666666628</c:v>
                </c:pt>
                <c:pt idx="18">
                  <c:v>45583.833333333292</c:v>
                </c:pt>
                <c:pt idx="19">
                  <c:v>45583.874999999956</c:v>
                </c:pt>
                <c:pt idx="20">
                  <c:v>45583.916666666621</c:v>
                </c:pt>
                <c:pt idx="21">
                  <c:v>45583.958333333285</c:v>
                </c:pt>
                <c:pt idx="22">
                  <c:v>45583.999999999949</c:v>
                </c:pt>
                <c:pt idx="23">
                  <c:v>45584.041666666613</c:v>
                </c:pt>
                <c:pt idx="24">
                  <c:v>45584.083333333278</c:v>
                </c:pt>
                <c:pt idx="25">
                  <c:v>45584.124999999942</c:v>
                </c:pt>
                <c:pt idx="26">
                  <c:v>45584.166666666606</c:v>
                </c:pt>
                <c:pt idx="27">
                  <c:v>45584.20833333327</c:v>
                </c:pt>
                <c:pt idx="28">
                  <c:v>45584.249999999935</c:v>
                </c:pt>
                <c:pt idx="29">
                  <c:v>45584.291666666599</c:v>
                </c:pt>
                <c:pt idx="30">
                  <c:v>45584.333333333263</c:v>
                </c:pt>
                <c:pt idx="31">
                  <c:v>45584.374999999927</c:v>
                </c:pt>
                <c:pt idx="32">
                  <c:v>45584.416666666591</c:v>
                </c:pt>
                <c:pt idx="33">
                  <c:v>45584.458333333256</c:v>
                </c:pt>
                <c:pt idx="34">
                  <c:v>45584.49999999992</c:v>
                </c:pt>
                <c:pt idx="35">
                  <c:v>45584.541666666584</c:v>
                </c:pt>
                <c:pt idx="36">
                  <c:v>45584.583333333248</c:v>
                </c:pt>
                <c:pt idx="37">
                  <c:v>45584.624999999913</c:v>
                </c:pt>
                <c:pt idx="38">
                  <c:v>45584.666666666577</c:v>
                </c:pt>
                <c:pt idx="39">
                  <c:v>45584.708333333241</c:v>
                </c:pt>
                <c:pt idx="40">
                  <c:v>45584.749999999905</c:v>
                </c:pt>
                <c:pt idx="41">
                  <c:v>45584.79166666657</c:v>
                </c:pt>
                <c:pt idx="42">
                  <c:v>45584.833333333234</c:v>
                </c:pt>
                <c:pt idx="43">
                  <c:v>45584.874999999898</c:v>
                </c:pt>
                <c:pt idx="44">
                  <c:v>45584.916666666562</c:v>
                </c:pt>
                <c:pt idx="45">
                  <c:v>45584.958333333227</c:v>
                </c:pt>
                <c:pt idx="46">
                  <c:v>45584.999999999891</c:v>
                </c:pt>
                <c:pt idx="47">
                  <c:v>45585.041666666555</c:v>
                </c:pt>
                <c:pt idx="48">
                  <c:v>45585.083333333219</c:v>
                </c:pt>
                <c:pt idx="49">
                  <c:v>45585.124999999884</c:v>
                </c:pt>
                <c:pt idx="50">
                  <c:v>45585.166666666548</c:v>
                </c:pt>
                <c:pt idx="51">
                  <c:v>45585.208333333212</c:v>
                </c:pt>
                <c:pt idx="52">
                  <c:v>45585.249999999876</c:v>
                </c:pt>
                <c:pt idx="53">
                  <c:v>45585.291666666541</c:v>
                </c:pt>
                <c:pt idx="54">
                  <c:v>45585.333333333205</c:v>
                </c:pt>
                <c:pt idx="55">
                  <c:v>45585.374999999869</c:v>
                </c:pt>
                <c:pt idx="56">
                  <c:v>45585.416666666533</c:v>
                </c:pt>
                <c:pt idx="57">
                  <c:v>45585.458333333198</c:v>
                </c:pt>
                <c:pt idx="58">
                  <c:v>45585.499999999862</c:v>
                </c:pt>
                <c:pt idx="59">
                  <c:v>45585.541666666526</c:v>
                </c:pt>
                <c:pt idx="60">
                  <c:v>45585.58333333319</c:v>
                </c:pt>
                <c:pt idx="61">
                  <c:v>45585.624999999854</c:v>
                </c:pt>
                <c:pt idx="62">
                  <c:v>45585.666666666519</c:v>
                </c:pt>
                <c:pt idx="63">
                  <c:v>45585.708333333183</c:v>
                </c:pt>
                <c:pt idx="64">
                  <c:v>45585.749999999847</c:v>
                </c:pt>
                <c:pt idx="65">
                  <c:v>45585.791666666511</c:v>
                </c:pt>
                <c:pt idx="66">
                  <c:v>45585.833333333176</c:v>
                </c:pt>
                <c:pt idx="67">
                  <c:v>45585.87499999984</c:v>
                </c:pt>
                <c:pt idx="68">
                  <c:v>45585.916666666504</c:v>
                </c:pt>
                <c:pt idx="69">
                  <c:v>45585.958333333168</c:v>
                </c:pt>
                <c:pt idx="70">
                  <c:v>45585.999999999833</c:v>
                </c:pt>
                <c:pt idx="71">
                  <c:v>45586.041666666497</c:v>
                </c:pt>
                <c:pt idx="72">
                  <c:v>45586.083333333161</c:v>
                </c:pt>
                <c:pt idx="73">
                  <c:v>45586.124999999825</c:v>
                </c:pt>
                <c:pt idx="74">
                  <c:v>45586.16666666649</c:v>
                </c:pt>
                <c:pt idx="75">
                  <c:v>45586.208333333154</c:v>
                </c:pt>
                <c:pt idx="76">
                  <c:v>45586.249999999818</c:v>
                </c:pt>
                <c:pt idx="77">
                  <c:v>45586.291666666482</c:v>
                </c:pt>
                <c:pt idx="78">
                  <c:v>45586.333333333147</c:v>
                </c:pt>
                <c:pt idx="79">
                  <c:v>45586.374999999811</c:v>
                </c:pt>
                <c:pt idx="80">
                  <c:v>45586.416666666475</c:v>
                </c:pt>
                <c:pt idx="81">
                  <c:v>45586.458333333139</c:v>
                </c:pt>
                <c:pt idx="82">
                  <c:v>45586.499999999804</c:v>
                </c:pt>
                <c:pt idx="83">
                  <c:v>45586.541666666468</c:v>
                </c:pt>
                <c:pt idx="84">
                  <c:v>45586.583333333132</c:v>
                </c:pt>
                <c:pt idx="85">
                  <c:v>45586.624999999796</c:v>
                </c:pt>
                <c:pt idx="86">
                  <c:v>45586.666666666461</c:v>
                </c:pt>
                <c:pt idx="87">
                  <c:v>45586.708333333125</c:v>
                </c:pt>
                <c:pt idx="88">
                  <c:v>45586.749999999789</c:v>
                </c:pt>
                <c:pt idx="89">
                  <c:v>45586.791666666453</c:v>
                </c:pt>
                <c:pt idx="90">
                  <c:v>45586.833333333117</c:v>
                </c:pt>
                <c:pt idx="91">
                  <c:v>45586.874999999782</c:v>
                </c:pt>
                <c:pt idx="92">
                  <c:v>45586.916666666446</c:v>
                </c:pt>
                <c:pt idx="93">
                  <c:v>45586.95833333311</c:v>
                </c:pt>
                <c:pt idx="94">
                  <c:v>45586.999999999774</c:v>
                </c:pt>
                <c:pt idx="95">
                  <c:v>45587.041666666439</c:v>
                </c:pt>
                <c:pt idx="96">
                  <c:v>45587.083333333103</c:v>
                </c:pt>
                <c:pt idx="97">
                  <c:v>45587.124999999767</c:v>
                </c:pt>
                <c:pt idx="98">
                  <c:v>45587.166666666431</c:v>
                </c:pt>
                <c:pt idx="99">
                  <c:v>45587.208333333096</c:v>
                </c:pt>
                <c:pt idx="100">
                  <c:v>45587.24999999976</c:v>
                </c:pt>
                <c:pt idx="101">
                  <c:v>45587.291666666424</c:v>
                </c:pt>
                <c:pt idx="102">
                  <c:v>45587.333333333088</c:v>
                </c:pt>
                <c:pt idx="103">
                  <c:v>45587.374999999753</c:v>
                </c:pt>
                <c:pt idx="104">
                  <c:v>45587.416666666417</c:v>
                </c:pt>
                <c:pt idx="105">
                  <c:v>45587.458333333081</c:v>
                </c:pt>
                <c:pt idx="106">
                  <c:v>45587.499999999745</c:v>
                </c:pt>
                <c:pt idx="107">
                  <c:v>45587.54166666641</c:v>
                </c:pt>
                <c:pt idx="108">
                  <c:v>45587.583333333074</c:v>
                </c:pt>
                <c:pt idx="109">
                  <c:v>45587.624999999738</c:v>
                </c:pt>
                <c:pt idx="110">
                  <c:v>45587.666666666402</c:v>
                </c:pt>
                <c:pt idx="111">
                  <c:v>45587.708333333067</c:v>
                </c:pt>
                <c:pt idx="112">
                  <c:v>45587.749999999731</c:v>
                </c:pt>
                <c:pt idx="113">
                  <c:v>45587.791666666395</c:v>
                </c:pt>
                <c:pt idx="114">
                  <c:v>45587.833333333059</c:v>
                </c:pt>
                <c:pt idx="115">
                  <c:v>45587.874999999724</c:v>
                </c:pt>
                <c:pt idx="116">
                  <c:v>45587.916666666388</c:v>
                </c:pt>
                <c:pt idx="117">
                  <c:v>45587.958333333052</c:v>
                </c:pt>
                <c:pt idx="118">
                  <c:v>45587.999999999716</c:v>
                </c:pt>
                <c:pt idx="119">
                  <c:v>45588.04166666638</c:v>
                </c:pt>
                <c:pt idx="120">
                  <c:v>45588.083333333045</c:v>
                </c:pt>
                <c:pt idx="121">
                  <c:v>45588.124999999709</c:v>
                </c:pt>
                <c:pt idx="122">
                  <c:v>45588.166666666373</c:v>
                </c:pt>
                <c:pt idx="123">
                  <c:v>45588.208333333037</c:v>
                </c:pt>
                <c:pt idx="124">
                  <c:v>45588.249999999702</c:v>
                </c:pt>
                <c:pt idx="125">
                  <c:v>45588.291666666366</c:v>
                </c:pt>
                <c:pt idx="126">
                  <c:v>45588.33333333303</c:v>
                </c:pt>
                <c:pt idx="127">
                  <c:v>45588.374999999694</c:v>
                </c:pt>
                <c:pt idx="128">
                  <c:v>45588.416666666359</c:v>
                </c:pt>
                <c:pt idx="129">
                  <c:v>45588.458333333023</c:v>
                </c:pt>
                <c:pt idx="130">
                  <c:v>45588.499999999687</c:v>
                </c:pt>
                <c:pt idx="131">
                  <c:v>45588.541666666351</c:v>
                </c:pt>
                <c:pt idx="132">
                  <c:v>45588.583333333016</c:v>
                </c:pt>
                <c:pt idx="133">
                  <c:v>45588.62499999968</c:v>
                </c:pt>
                <c:pt idx="134">
                  <c:v>45588.666666666344</c:v>
                </c:pt>
                <c:pt idx="135">
                  <c:v>45588.708333333008</c:v>
                </c:pt>
                <c:pt idx="136">
                  <c:v>45588.749999999673</c:v>
                </c:pt>
                <c:pt idx="137">
                  <c:v>45588.791666666337</c:v>
                </c:pt>
                <c:pt idx="138">
                  <c:v>45588.833333333001</c:v>
                </c:pt>
                <c:pt idx="139">
                  <c:v>45588.874999999665</c:v>
                </c:pt>
                <c:pt idx="140">
                  <c:v>45588.91666666633</c:v>
                </c:pt>
                <c:pt idx="141">
                  <c:v>45588.958333332994</c:v>
                </c:pt>
                <c:pt idx="142">
                  <c:v>45588.999999999658</c:v>
                </c:pt>
                <c:pt idx="143">
                  <c:v>45589.041666666322</c:v>
                </c:pt>
                <c:pt idx="144">
                  <c:v>45589.083333332987</c:v>
                </c:pt>
                <c:pt idx="145">
                  <c:v>45589.124999999651</c:v>
                </c:pt>
                <c:pt idx="146">
                  <c:v>45589.166666666315</c:v>
                </c:pt>
                <c:pt idx="147">
                  <c:v>45589.208333332979</c:v>
                </c:pt>
                <c:pt idx="148">
                  <c:v>45589.249999999643</c:v>
                </c:pt>
                <c:pt idx="149">
                  <c:v>45589.291666666308</c:v>
                </c:pt>
                <c:pt idx="150">
                  <c:v>45589.333333332972</c:v>
                </c:pt>
                <c:pt idx="151">
                  <c:v>45589.374999999636</c:v>
                </c:pt>
                <c:pt idx="152">
                  <c:v>45589.4166666663</c:v>
                </c:pt>
                <c:pt idx="153">
                  <c:v>45589.458333332965</c:v>
                </c:pt>
                <c:pt idx="154">
                  <c:v>45589.499999999629</c:v>
                </c:pt>
                <c:pt idx="155">
                  <c:v>45589.541666666293</c:v>
                </c:pt>
                <c:pt idx="156">
                  <c:v>45589.583333332957</c:v>
                </c:pt>
                <c:pt idx="157">
                  <c:v>45589.624999999622</c:v>
                </c:pt>
                <c:pt idx="158">
                  <c:v>45589.666666666286</c:v>
                </c:pt>
                <c:pt idx="159">
                  <c:v>45589.70833333295</c:v>
                </c:pt>
                <c:pt idx="160">
                  <c:v>45589.749999999614</c:v>
                </c:pt>
                <c:pt idx="161">
                  <c:v>45589.791666666279</c:v>
                </c:pt>
                <c:pt idx="162">
                  <c:v>45589.833333332943</c:v>
                </c:pt>
                <c:pt idx="163">
                  <c:v>45589.874999999607</c:v>
                </c:pt>
                <c:pt idx="164">
                  <c:v>45589.916666666271</c:v>
                </c:pt>
                <c:pt idx="165">
                  <c:v>45589.958333332936</c:v>
                </c:pt>
                <c:pt idx="166">
                  <c:v>45589.9999999996</c:v>
                </c:pt>
                <c:pt idx="167">
                  <c:v>45590.041666666264</c:v>
                </c:pt>
                <c:pt idx="168">
                  <c:v>45590.083333332928</c:v>
                </c:pt>
                <c:pt idx="169">
                  <c:v>45590.124999999593</c:v>
                </c:pt>
                <c:pt idx="170">
                  <c:v>45590.166666666257</c:v>
                </c:pt>
                <c:pt idx="171">
                  <c:v>45590.208333332921</c:v>
                </c:pt>
                <c:pt idx="172">
                  <c:v>45590.249999999585</c:v>
                </c:pt>
                <c:pt idx="173">
                  <c:v>45590.29166666625</c:v>
                </c:pt>
                <c:pt idx="174">
                  <c:v>45590.333333332914</c:v>
                </c:pt>
                <c:pt idx="175">
                  <c:v>45590.374999999578</c:v>
                </c:pt>
                <c:pt idx="176">
                  <c:v>45590.416666666242</c:v>
                </c:pt>
                <c:pt idx="177">
                  <c:v>45590.458333332906</c:v>
                </c:pt>
                <c:pt idx="178">
                  <c:v>45590.499999999571</c:v>
                </c:pt>
                <c:pt idx="179">
                  <c:v>45590.541666666235</c:v>
                </c:pt>
                <c:pt idx="180">
                  <c:v>45590.583333332899</c:v>
                </c:pt>
                <c:pt idx="181">
                  <c:v>45590.624999999563</c:v>
                </c:pt>
                <c:pt idx="182">
                  <c:v>45590.666666666228</c:v>
                </c:pt>
                <c:pt idx="183">
                  <c:v>45590.708333332892</c:v>
                </c:pt>
                <c:pt idx="184">
                  <c:v>45590.749999999556</c:v>
                </c:pt>
                <c:pt idx="185">
                  <c:v>45590.79166666622</c:v>
                </c:pt>
                <c:pt idx="186">
                  <c:v>45590.833333332885</c:v>
                </c:pt>
                <c:pt idx="187">
                  <c:v>45590.874999999549</c:v>
                </c:pt>
                <c:pt idx="188">
                  <c:v>45590.916666666213</c:v>
                </c:pt>
                <c:pt idx="189">
                  <c:v>45590.958333332877</c:v>
                </c:pt>
                <c:pt idx="190">
                  <c:v>45590.999999999542</c:v>
                </c:pt>
                <c:pt idx="191">
                  <c:v>45591.041666666206</c:v>
                </c:pt>
                <c:pt idx="192">
                  <c:v>45591.08333333287</c:v>
                </c:pt>
                <c:pt idx="193">
                  <c:v>45591.124999999534</c:v>
                </c:pt>
                <c:pt idx="194">
                  <c:v>45591.166666666199</c:v>
                </c:pt>
                <c:pt idx="195">
                  <c:v>45591.208333332863</c:v>
                </c:pt>
                <c:pt idx="196">
                  <c:v>45591.249999999527</c:v>
                </c:pt>
                <c:pt idx="197">
                  <c:v>45591.291666666191</c:v>
                </c:pt>
                <c:pt idx="198">
                  <c:v>45591.333333332856</c:v>
                </c:pt>
                <c:pt idx="199">
                  <c:v>45591.37499999952</c:v>
                </c:pt>
                <c:pt idx="200">
                  <c:v>45591.416666666184</c:v>
                </c:pt>
                <c:pt idx="201">
                  <c:v>45591.458333332848</c:v>
                </c:pt>
                <c:pt idx="202">
                  <c:v>45591.499999999513</c:v>
                </c:pt>
                <c:pt idx="203">
                  <c:v>45591.541666666177</c:v>
                </c:pt>
                <c:pt idx="204">
                  <c:v>45591.583333332841</c:v>
                </c:pt>
                <c:pt idx="205">
                  <c:v>45591.624999999505</c:v>
                </c:pt>
                <c:pt idx="206">
                  <c:v>45591.666666666169</c:v>
                </c:pt>
                <c:pt idx="207">
                  <c:v>45591.708333332834</c:v>
                </c:pt>
                <c:pt idx="208">
                  <c:v>45591.749999999498</c:v>
                </c:pt>
                <c:pt idx="209">
                  <c:v>45591.791666666162</c:v>
                </c:pt>
                <c:pt idx="210">
                  <c:v>45591.833333332826</c:v>
                </c:pt>
                <c:pt idx="211">
                  <c:v>45591.874999999491</c:v>
                </c:pt>
                <c:pt idx="212">
                  <c:v>45591.916666666155</c:v>
                </c:pt>
                <c:pt idx="213">
                  <c:v>45591.958333332819</c:v>
                </c:pt>
                <c:pt idx="214">
                  <c:v>45591.999999999483</c:v>
                </c:pt>
                <c:pt idx="215">
                  <c:v>45592.041666666148</c:v>
                </c:pt>
                <c:pt idx="216">
                  <c:v>45592.083333332812</c:v>
                </c:pt>
                <c:pt idx="217">
                  <c:v>45592.124999999476</c:v>
                </c:pt>
                <c:pt idx="218">
                  <c:v>45592.16666666614</c:v>
                </c:pt>
                <c:pt idx="219">
                  <c:v>45592.208333332805</c:v>
                </c:pt>
                <c:pt idx="220">
                  <c:v>45592.249999999469</c:v>
                </c:pt>
                <c:pt idx="221">
                  <c:v>45592.291666666133</c:v>
                </c:pt>
                <c:pt idx="222">
                  <c:v>45592.333333332797</c:v>
                </c:pt>
                <c:pt idx="223">
                  <c:v>45592.374999999462</c:v>
                </c:pt>
                <c:pt idx="224">
                  <c:v>45592.416666666126</c:v>
                </c:pt>
                <c:pt idx="225">
                  <c:v>45592.45833333279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45583.083333333336</c:v>
                </c:pt>
                <c:pt idx="1">
                  <c:v>45583.125</c:v>
                </c:pt>
                <c:pt idx="2">
                  <c:v>45583.166666666664</c:v>
                </c:pt>
                <c:pt idx="3">
                  <c:v>45583.208333333328</c:v>
                </c:pt>
                <c:pt idx="4">
                  <c:v>45583.249999999993</c:v>
                </c:pt>
                <c:pt idx="5">
                  <c:v>45583.291666666657</c:v>
                </c:pt>
                <c:pt idx="6">
                  <c:v>45583.333333333321</c:v>
                </c:pt>
                <c:pt idx="7">
                  <c:v>45583.374999999985</c:v>
                </c:pt>
                <c:pt idx="8">
                  <c:v>45583.41666666665</c:v>
                </c:pt>
                <c:pt idx="9">
                  <c:v>45583.458333333314</c:v>
                </c:pt>
                <c:pt idx="10">
                  <c:v>45583.499999999978</c:v>
                </c:pt>
                <c:pt idx="11">
                  <c:v>45583.541666666642</c:v>
                </c:pt>
                <c:pt idx="12">
                  <c:v>45583.583333333307</c:v>
                </c:pt>
                <c:pt idx="13">
                  <c:v>45583.624999999971</c:v>
                </c:pt>
                <c:pt idx="14">
                  <c:v>45583.666666666635</c:v>
                </c:pt>
                <c:pt idx="15">
                  <c:v>45583.708333333299</c:v>
                </c:pt>
                <c:pt idx="16">
                  <c:v>45583.749999999964</c:v>
                </c:pt>
                <c:pt idx="17">
                  <c:v>45583.791666666628</c:v>
                </c:pt>
                <c:pt idx="18">
                  <c:v>45583.833333333292</c:v>
                </c:pt>
                <c:pt idx="19">
                  <c:v>45583.874999999956</c:v>
                </c:pt>
                <c:pt idx="20">
                  <c:v>45583.916666666621</c:v>
                </c:pt>
                <c:pt idx="21">
                  <c:v>45583.958333333285</c:v>
                </c:pt>
                <c:pt idx="22">
                  <c:v>45583.999999999949</c:v>
                </c:pt>
                <c:pt idx="23">
                  <c:v>45584.041666666613</c:v>
                </c:pt>
                <c:pt idx="24">
                  <c:v>45584.083333333278</c:v>
                </c:pt>
                <c:pt idx="25">
                  <c:v>45584.124999999942</c:v>
                </c:pt>
                <c:pt idx="26">
                  <c:v>45584.166666666606</c:v>
                </c:pt>
                <c:pt idx="27">
                  <c:v>45584.20833333327</c:v>
                </c:pt>
                <c:pt idx="28">
                  <c:v>45584.249999999935</c:v>
                </c:pt>
                <c:pt idx="29">
                  <c:v>45584.291666666599</c:v>
                </c:pt>
                <c:pt idx="30">
                  <c:v>45584.333333333263</c:v>
                </c:pt>
                <c:pt idx="31">
                  <c:v>45584.374999999927</c:v>
                </c:pt>
                <c:pt idx="32">
                  <c:v>45584.416666666591</c:v>
                </c:pt>
                <c:pt idx="33">
                  <c:v>45584.458333333256</c:v>
                </c:pt>
                <c:pt idx="34">
                  <c:v>45584.49999999992</c:v>
                </c:pt>
                <c:pt idx="35">
                  <c:v>45584.541666666584</c:v>
                </c:pt>
                <c:pt idx="36">
                  <c:v>45584.583333333248</c:v>
                </c:pt>
                <c:pt idx="37">
                  <c:v>45584.624999999913</c:v>
                </c:pt>
                <c:pt idx="38">
                  <c:v>45584.666666666577</c:v>
                </c:pt>
                <c:pt idx="39">
                  <c:v>45584.708333333241</c:v>
                </c:pt>
                <c:pt idx="40">
                  <c:v>45584.749999999905</c:v>
                </c:pt>
                <c:pt idx="41">
                  <c:v>45584.79166666657</c:v>
                </c:pt>
                <c:pt idx="42">
                  <c:v>45584.833333333234</c:v>
                </c:pt>
                <c:pt idx="43">
                  <c:v>45584.874999999898</c:v>
                </c:pt>
                <c:pt idx="44">
                  <c:v>45584.916666666562</c:v>
                </c:pt>
                <c:pt idx="45">
                  <c:v>45584.958333333227</c:v>
                </c:pt>
                <c:pt idx="46">
                  <c:v>45584.999999999891</c:v>
                </c:pt>
                <c:pt idx="47">
                  <c:v>45585.041666666555</c:v>
                </c:pt>
                <c:pt idx="48">
                  <c:v>45585.083333333219</c:v>
                </c:pt>
                <c:pt idx="49">
                  <c:v>45585.124999999884</c:v>
                </c:pt>
                <c:pt idx="50">
                  <c:v>45585.166666666548</c:v>
                </c:pt>
                <c:pt idx="51">
                  <c:v>45585.208333333212</c:v>
                </c:pt>
                <c:pt idx="52">
                  <c:v>45585.249999999876</c:v>
                </c:pt>
                <c:pt idx="53">
                  <c:v>45585.291666666541</c:v>
                </c:pt>
                <c:pt idx="54">
                  <c:v>45585.333333333205</c:v>
                </c:pt>
                <c:pt idx="55">
                  <c:v>45585.374999999869</c:v>
                </c:pt>
                <c:pt idx="56">
                  <c:v>45585.416666666533</c:v>
                </c:pt>
                <c:pt idx="57">
                  <c:v>45585.458333333198</c:v>
                </c:pt>
                <c:pt idx="58">
                  <c:v>45585.499999999862</c:v>
                </c:pt>
                <c:pt idx="59">
                  <c:v>45585.541666666526</c:v>
                </c:pt>
                <c:pt idx="60">
                  <c:v>45585.58333333319</c:v>
                </c:pt>
                <c:pt idx="61">
                  <c:v>45585.624999999854</c:v>
                </c:pt>
                <c:pt idx="62">
                  <c:v>45585.666666666519</c:v>
                </c:pt>
                <c:pt idx="63">
                  <c:v>45585.708333333183</c:v>
                </c:pt>
                <c:pt idx="64">
                  <c:v>45585.749999999847</c:v>
                </c:pt>
                <c:pt idx="65">
                  <c:v>45585.791666666511</c:v>
                </c:pt>
                <c:pt idx="66">
                  <c:v>45585.833333333176</c:v>
                </c:pt>
                <c:pt idx="67">
                  <c:v>45585.87499999984</c:v>
                </c:pt>
                <c:pt idx="68">
                  <c:v>45585.916666666504</c:v>
                </c:pt>
                <c:pt idx="69">
                  <c:v>45585.958333333168</c:v>
                </c:pt>
                <c:pt idx="70">
                  <c:v>45585.999999999833</c:v>
                </c:pt>
                <c:pt idx="71">
                  <c:v>45586.041666666497</c:v>
                </c:pt>
                <c:pt idx="72">
                  <c:v>45586.083333333161</c:v>
                </c:pt>
                <c:pt idx="73">
                  <c:v>45586.124999999825</c:v>
                </c:pt>
                <c:pt idx="74">
                  <c:v>45586.16666666649</c:v>
                </c:pt>
                <c:pt idx="75">
                  <c:v>45586.208333333154</c:v>
                </c:pt>
                <c:pt idx="76">
                  <c:v>45586.249999999818</c:v>
                </c:pt>
                <c:pt idx="77">
                  <c:v>45586.291666666482</c:v>
                </c:pt>
                <c:pt idx="78">
                  <c:v>45586.333333333147</c:v>
                </c:pt>
                <c:pt idx="79">
                  <c:v>45586.374999999811</c:v>
                </c:pt>
                <c:pt idx="80">
                  <c:v>45586.416666666475</c:v>
                </c:pt>
                <c:pt idx="81">
                  <c:v>45586.458333333139</c:v>
                </c:pt>
                <c:pt idx="82">
                  <c:v>45586.499999999804</c:v>
                </c:pt>
                <c:pt idx="83">
                  <c:v>45586.541666666468</c:v>
                </c:pt>
                <c:pt idx="84">
                  <c:v>45586.583333333132</c:v>
                </c:pt>
                <c:pt idx="85">
                  <c:v>45586.624999999796</c:v>
                </c:pt>
                <c:pt idx="86">
                  <c:v>45586.666666666461</c:v>
                </c:pt>
                <c:pt idx="87">
                  <c:v>45586.708333333125</c:v>
                </c:pt>
                <c:pt idx="88">
                  <c:v>45586.749999999789</c:v>
                </c:pt>
                <c:pt idx="89">
                  <c:v>45586.791666666453</c:v>
                </c:pt>
                <c:pt idx="90">
                  <c:v>45586.833333333117</c:v>
                </c:pt>
                <c:pt idx="91">
                  <c:v>45586.874999999782</c:v>
                </c:pt>
                <c:pt idx="92">
                  <c:v>45586.916666666446</c:v>
                </c:pt>
                <c:pt idx="93">
                  <c:v>45586.95833333311</c:v>
                </c:pt>
                <c:pt idx="94">
                  <c:v>45586.999999999774</c:v>
                </c:pt>
                <c:pt idx="95">
                  <c:v>45587.041666666439</c:v>
                </c:pt>
                <c:pt idx="96">
                  <c:v>45587.083333333103</c:v>
                </c:pt>
                <c:pt idx="97">
                  <c:v>45587.124999999767</c:v>
                </c:pt>
                <c:pt idx="98">
                  <c:v>45587.166666666431</c:v>
                </c:pt>
                <c:pt idx="99">
                  <c:v>45587.208333333096</c:v>
                </c:pt>
                <c:pt idx="100">
                  <c:v>45587.24999999976</c:v>
                </c:pt>
                <c:pt idx="101">
                  <c:v>45587.291666666424</c:v>
                </c:pt>
                <c:pt idx="102">
                  <c:v>45587.333333333088</c:v>
                </c:pt>
                <c:pt idx="103">
                  <c:v>45587.374999999753</c:v>
                </c:pt>
                <c:pt idx="104">
                  <c:v>45587.416666666417</c:v>
                </c:pt>
                <c:pt idx="105">
                  <c:v>45587.458333333081</c:v>
                </c:pt>
                <c:pt idx="106">
                  <c:v>45587.499999999745</c:v>
                </c:pt>
                <c:pt idx="107">
                  <c:v>45587.54166666641</c:v>
                </c:pt>
                <c:pt idx="108">
                  <c:v>45587.583333333074</c:v>
                </c:pt>
                <c:pt idx="109">
                  <c:v>45587.624999999738</c:v>
                </c:pt>
                <c:pt idx="110">
                  <c:v>45587.666666666402</c:v>
                </c:pt>
                <c:pt idx="111">
                  <c:v>45587.708333333067</c:v>
                </c:pt>
                <c:pt idx="112">
                  <c:v>45587.749999999731</c:v>
                </c:pt>
                <c:pt idx="113">
                  <c:v>45587.791666666395</c:v>
                </c:pt>
                <c:pt idx="114">
                  <c:v>45587.833333333059</c:v>
                </c:pt>
                <c:pt idx="115">
                  <c:v>45587.874999999724</c:v>
                </c:pt>
                <c:pt idx="116">
                  <c:v>45587.916666666388</c:v>
                </c:pt>
                <c:pt idx="117">
                  <c:v>45587.958333333052</c:v>
                </c:pt>
                <c:pt idx="118">
                  <c:v>45587.999999999716</c:v>
                </c:pt>
                <c:pt idx="119">
                  <c:v>45588.04166666638</c:v>
                </c:pt>
                <c:pt idx="120">
                  <c:v>45588.083333333045</c:v>
                </c:pt>
                <c:pt idx="121">
                  <c:v>45588.124999999709</c:v>
                </c:pt>
                <c:pt idx="122">
                  <c:v>45588.166666666373</c:v>
                </c:pt>
                <c:pt idx="123">
                  <c:v>45588.208333333037</c:v>
                </c:pt>
                <c:pt idx="124">
                  <c:v>45588.249999999702</c:v>
                </c:pt>
                <c:pt idx="125">
                  <c:v>45588.291666666366</c:v>
                </c:pt>
                <c:pt idx="126">
                  <c:v>45588.33333333303</c:v>
                </c:pt>
                <c:pt idx="127">
                  <c:v>45588.374999999694</c:v>
                </c:pt>
                <c:pt idx="128">
                  <c:v>45588.416666666359</c:v>
                </c:pt>
                <c:pt idx="129">
                  <c:v>45588.458333333023</c:v>
                </c:pt>
                <c:pt idx="130">
                  <c:v>45588.499999999687</c:v>
                </c:pt>
                <c:pt idx="131">
                  <c:v>45588.541666666351</c:v>
                </c:pt>
                <c:pt idx="132">
                  <c:v>45588.583333333016</c:v>
                </c:pt>
                <c:pt idx="133">
                  <c:v>45588.62499999968</c:v>
                </c:pt>
                <c:pt idx="134">
                  <c:v>45588.666666666344</c:v>
                </c:pt>
                <c:pt idx="135">
                  <c:v>45588.708333333008</c:v>
                </c:pt>
                <c:pt idx="136">
                  <c:v>45588.749999999673</c:v>
                </c:pt>
                <c:pt idx="137">
                  <c:v>45588.791666666337</c:v>
                </c:pt>
                <c:pt idx="138">
                  <c:v>45588.833333333001</c:v>
                </c:pt>
                <c:pt idx="139">
                  <c:v>45588.874999999665</c:v>
                </c:pt>
                <c:pt idx="140">
                  <c:v>45588.91666666633</c:v>
                </c:pt>
                <c:pt idx="141">
                  <c:v>45588.958333332994</c:v>
                </c:pt>
                <c:pt idx="142">
                  <c:v>45588.999999999658</c:v>
                </c:pt>
                <c:pt idx="143">
                  <c:v>45589.041666666322</c:v>
                </c:pt>
                <c:pt idx="144">
                  <c:v>45589.083333332987</c:v>
                </c:pt>
                <c:pt idx="145">
                  <c:v>45589.124999999651</c:v>
                </c:pt>
                <c:pt idx="146">
                  <c:v>45589.166666666315</c:v>
                </c:pt>
                <c:pt idx="147">
                  <c:v>45589.208333332979</c:v>
                </c:pt>
                <c:pt idx="148">
                  <c:v>45589.249999999643</c:v>
                </c:pt>
                <c:pt idx="149">
                  <c:v>45589.291666666308</c:v>
                </c:pt>
                <c:pt idx="150">
                  <c:v>45589.333333332972</c:v>
                </c:pt>
                <c:pt idx="151">
                  <c:v>45589.374999999636</c:v>
                </c:pt>
                <c:pt idx="152">
                  <c:v>45589.4166666663</c:v>
                </c:pt>
                <c:pt idx="153">
                  <c:v>45589.458333332965</c:v>
                </c:pt>
                <c:pt idx="154">
                  <c:v>45589.499999999629</c:v>
                </c:pt>
                <c:pt idx="155">
                  <c:v>45589.541666666293</c:v>
                </c:pt>
                <c:pt idx="156">
                  <c:v>45589.583333332957</c:v>
                </c:pt>
                <c:pt idx="157">
                  <c:v>45589.624999999622</c:v>
                </c:pt>
                <c:pt idx="158">
                  <c:v>45589.666666666286</c:v>
                </c:pt>
                <c:pt idx="159">
                  <c:v>45589.70833333295</c:v>
                </c:pt>
                <c:pt idx="160">
                  <c:v>45589.749999999614</c:v>
                </c:pt>
                <c:pt idx="161">
                  <c:v>45589.791666666279</c:v>
                </c:pt>
                <c:pt idx="162">
                  <c:v>45589.833333332943</c:v>
                </c:pt>
                <c:pt idx="163">
                  <c:v>45589.874999999607</c:v>
                </c:pt>
                <c:pt idx="164">
                  <c:v>45589.916666666271</c:v>
                </c:pt>
                <c:pt idx="165">
                  <c:v>45589.958333332936</c:v>
                </c:pt>
                <c:pt idx="166">
                  <c:v>45589.9999999996</c:v>
                </c:pt>
                <c:pt idx="167">
                  <c:v>45590.041666666264</c:v>
                </c:pt>
                <c:pt idx="168">
                  <c:v>45590.083333332928</c:v>
                </c:pt>
                <c:pt idx="169">
                  <c:v>45590.124999999593</c:v>
                </c:pt>
                <c:pt idx="170">
                  <c:v>45590.166666666257</c:v>
                </c:pt>
                <c:pt idx="171">
                  <c:v>45590.208333332921</c:v>
                </c:pt>
                <c:pt idx="172">
                  <c:v>45590.249999999585</c:v>
                </c:pt>
                <c:pt idx="173">
                  <c:v>45590.29166666625</c:v>
                </c:pt>
                <c:pt idx="174">
                  <c:v>45590.333333332914</c:v>
                </c:pt>
                <c:pt idx="175">
                  <c:v>45590.374999999578</c:v>
                </c:pt>
                <c:pt idx="176">
                  <c:v>45590.416666666242</c:v>
                </c:pt>
                <c:pt idx="177">
                  <c:v>45590.458333332906</c:v>
                </c:pt>
                <c:pt idx="178">
                  <c:v>45590.499999999571</c:v>
                </c:pt>
                <c:pt idx="179">
                  <c:v>45590.541666666235</c:v>
                </c:pt>
                <c:pt idx="180">
                  <c:v>45590.583333332899</c:v>
                </c:pt>
                <c:pt idx="181">
                  <c:v>45590.624999999563</c:v>
                </c:pt>
                <c:pt idx="182">
                  <c:v>45590.666666666228</c:v>
                </c:pt>
                <c:pt idx="183">
                  <c:v>45590.708333332892</c:v>
                </c:pt>
                <c:pt idx="184">
                  <c:v>45590.749999999556</c:v>
                </c:pt>
                <c:pt idx="185">
                  <c:v>45590.79166666622</c:v>
                </c:pt>
                <c:pt idx="186">
                  <c:v>45590.833333332885</c:v>
                </c:pt>
                <c:pt idx="187">
                  <c:v>45590.874999999549</c:v>
                </c:pt>
                <c:pt idx="188">
                  <c:v>45590.916666666213</c:v>
                </c:pt>
                <c:pt idx="189">
                  <c:v>45590.958333332877</c:v>
                </c:pt>
                <c:pt idx="190">
                  <c:v>45590.999999999542</c:v>
                </c:pt>
                <c:pt idx="191">
                  <c:v>45591.041666666206</c:v>
                </c:pt>
                <c:pt idx="192">
                  <c:v>45591.08333333287</c:v>
                </c:pt>
                <c:pt idx="193">
                  <c:v>45591.124999999534</c:v>
                </c:pt>
                <c:pt idx="194">
                  <c:v>45591.166666666199</c:v>
                </c:pt>
                <c:pt idx="195">
                  <c:v>45591.208333332863</c:v>
                </c:pt>
                <c:pt idx="196">
                  <c:v>45591.249999999527</c:v>
                </c:pt>
                <c:pt idx="197">
                  <c:v>45591.291666666191</c:v>
                </c:pt>
                <c:pt idx="198">
                  <c:v>45591.333333332856</c:v>
                </c:pt>
                <c:pt idx="199">
                  <c:v>45591.37499999952</c:v>
                </c:pt>
                <c:pt idx="200">
                  <c:v>45591.416666666184</c:v>
                </c:pt>
                <c:pt idx="201">
                  <c:v>45591.458333332848</c:v>
                </c:pt>
                <c:pt idx="202">
                  <c:v>45591.499999999513</c:v>
                </c:pt>
                <c:pt idx="203">
                  <c:v>45591.541666666177</c:v>
                </c:pt>
                <c:pt idx="204">
                  <c:v>45591.583333332841</c:v>
                </c:pt>
                <c:pt idx="205">
                  <c:v>45591.624999999505</c:v>
                </c:pt>
                <c:pt idx="206">
                  <c:v>45591.666666666169</c:v>
                </c:pt>
                <c:pt idx="207">
                  <c:v>45591.708333332834</c:v>
                </c:pt>
                <c:pt idx="208">
                  <c:v>45591.749999999498</c:v>
                </c:pt>
                <c:pt idx="209">
                  <c:v>45591.791666666162</c:v>
                </c:pt>
                <c:pt idx="210">
                  <c:v>45591.833333332826</c:v>
                </c:pt>
                <c:pt idx="211">
                  <c:v>45591.874999999491</c:v>
                </c:pt>
                <c:pt idx="212">
                  <c:v>45591.916666666155</c:v>
                </c:pt>
                <c:pt idx="213">
                  <c:v>45591.958333332819</c:v>
                </c:pt>
                <c:pt idx="214">
                  <c:v>45591.999999999483</c:v>
                </c:pt>
                <c:pt idx="215">
                  <c:v>45592.041666666148</c:v>
                </c:pt>
                <c:pt idx="216">
                  <c:v>45592.083333332812</c:v>
                </c:pt>
                <c:pt idx="217">
                  <c:v>45592.124999999476</c:v>
                </c:pt>
                <c:pt idx="218">
                  <c:v>45592.16666666614</c:v>
                </c:pt>
                <c:pt idx="219">
                  <c:v>45592.208333332805</c:v>
                </c:pt>
                <c:pt idx="220">
                  <c:v>45592.249999999469</c:v>
                </c:pt>
                <c:pt idx="221">
                  <c:v>45592.291666666133</c:v>
                </c:pt>
                <c:pt idx="222">
                  <c:v>45592.333333332797</c:v>
                </c:pt>
                <c:pt idx="223">
                  <c:v>45592.374999999462</c:v>
                </c:pt>
                <c:pt idx="224">
                  <c:v>45592.416666666126</c:v>
                </c:pt>
                <c:pt idx="225">
                  <c:v>45592.45833333279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1FAA936-6B5C-42F6-9B09-233902DB8D80}">
  <sheetPr>
    <tabColor rgb="FFFFFF00"/>
  </sheetPr>
  <sheetViews>
    <sheetView zoomScale="8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7A5D90-3FA1-BC32-DBA3-2553D0F957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3">
  <autoFilter ref="A2:C53" xr:uid="{00000000-0009-0000-0100-000001000000}"/>
  <tableColumns count="3">
    <tableColumn id="1" xr3:uid="{A15F7771-3411-4755-BF25-9924886865A8}" name="Wind Speed Bin [m/s)" dataDxfId="132"/>
    <tableColumn id="2" xr3:uid="{142316B4-F310-4F1E-AE48-A51BDCADD2A3}" name="Warranted Power Curve for _x000a_1.194Kg/m3 air density [kW]_x000a_SG 5.0-145 (AM 0, 5.0MW) AT _x000a_90M" dataDxfId="131"/>
    <tableColumn id="3" xr3:uid="{6237B2CE-0525-48CA-B0BD-8FBD05434998}" name="Warranted Power Curve for _x000a_1.194Kg/m3 air density [kW]_x000a_SG 5.0-145 (AM+1, 5.2MW) AT _x000a_90M" dataDxfId="130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9">
  <autoFilter ref="E2:G9" xr:uid="{00000000-0009-0000-0100-000002000000}"/>
  <tableColumns count="3">
    <tableColumn id="1" xr3:uid="{48F62C8F-CD0C-4F98-9C1C-8DBE403AF5D7}" name="Temp" dataDxfId="128"/>
    <tableColumn id="2" xr3:uid="{324CBFFC-F49D-4930-993D-E2C4D76FB8BA}" name="Warranted Power Curve for _x000a_1.194Kg/m3 air density [kW]_x000a_SG 5.0-145 (AM 0, 5.0MW) AT _x000a_90M" dataDxfId="127"/>
    <tableColumn id="3" xr3:uid="{821B827B-F8A9-4639-9D07-E460A4E8207D}" name="Warranted Power Curve for _x000a_1.194Kg/m3 air density [kW]_x000a_SG 5.0-145 (AM+1, 5.2MW) AT _x000a_90M" dataDxfId="126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5" dataDxfId="124">
  <autoFilter ref="B3:AA244" xr:uid="{88A0CA80-E5D4-49EB-A90A-1F081A73746E}"/>
  <tableColumns count="26">
    <tableColumn id="1" xr3:uid="{3BFB069A-03CC-44B5-8993-6206EAF1AAE1}" name="Fecha" dataDxfId="123"/>
    <tableColumn id="2" xr3:uid="{FCDCF028-61D2-429D-B431-5E3910AA17E3}" name="Hora" dataDxfId="122">
      <calculatedColumnFormula>C3+TIME(1,0,0)</calculatedColumnFormula>
    </tableColumn>
    <tableColumn id="12" xr3:uid="{20057907-496E-4BB0-AB48-9BE13A9F62D4}" name="Windy PLOM_x000a_MW" dataDxfId="121">
      <calculatedColumnFormula>Table12[[#This Row],[MW TOTAL BARRA A]]+Table12[[#This Row],[MW TOTAL BARRA B]]</calculatedColumnFormula>
    </tableColumn>
    <tableColumn id="3" xr3:uid="{FA7C1EFD-491D-4FA1-9D82-580F3B4F24FB}" name="Windy_x000a_m/s" dataDxfId="120"/>
    <tableColumn id="4" xr3:uid="{D25C1385-F622-4C2D-BF41-27621A984293}" name="Windy Gusts_x000a_m/s" dataDxfId="119"/>
    <tableColumn id="5" xr3:uid="{A84EA0B2-49D7-4D37-B75C-84AAEDD45234}" name="Windy Temp._x000a_°C (original)" dataDxfId="118"/>
    <tableColumn id="6" xr3:uid="{0F93AD40-8D15-4824-B6B1-6F8531C4AEB1}" name="Windy Temp._x000a_°C" dataDxfId="117">
      <calculatedColumnFormula>MID(G4,1,2)</calculatedColumnFormula>
    </tableColumn>
    <tableColumn id="16" xr3:uid="{8D1120FC-2444-48CF-AA6B-15D6A00951E1}" name="AEG E/S BARRA A" dataDxfId="116"/>
    <tableColumn id="17" xr3:uid="{1F8D3ECA-423D-4E35-8D5A-E18AECE0431F}" name="AEG E/S BARRA B" dataDxfId="115"/>
    <tableColumn id="20" xr3:uid="{928E054F-9C45-4B64-A0BD-5549B678339F}" name="MW TOTAL BARRA A" dataDxfId="114">
      <calculatedColumnFormula>Table12[[#This Row],[AEG E/S BARRA A]]*Table12[[#This Row],[AEG 5.2 MW]]</calculatedColumnFormula>
    </tableColumn>
    <tableColumn id="21" xr3:uid="{83270BB2-98F2-4DCA-8B0A-746B1393F78B}" name="MW TOTAL BARRA B" dataDxfId="113">
      <calculatedColumnFormula>Table12[[#This Row],[AEG E/S BARRA B]]*Table12[[#This Row],[AEG 5.0 MW]]</calculatedColumnFormula>
    </tableColumn>
    <tableColumn id="26" xr3:uid="{3DD84B59-3FFF-4F64-BADA-77800B03F3E3}" name="Derate" dataDxfId="112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1">
      <calculatedColumnFormula>INDEX(Curva_Temp[Temp],MATCH(Table12[[#This Row],[Windy Temp.
°C]],Curva_Temp[Temp]))</calculatedColumnFormula>
    </tableColumn>
    <tableColumn id="25" xr3:uid="{DF8131C3-FF84-46C7-A891-72440B11D058}" name="y1 Temp" dataDxfId="110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9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8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7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6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5"/>
    <tableColumn id="8" xr3:uid="{A29C297F-6C74-4BF2-A177-90048F1508BA}" name="Darwin_x000a_m/s" dataDxfId="104"/>
    <tableColumn id="9" xr3:uid="{96B03B0B-C583-4BCA-AE44-0BE8CB68B92A}" name="Darwin Gusts_x000a_m/s" dataDxfId="103"/>
    <tableColumn id="10" xr3:uid="{7787A70D-560F-44ED-9493-7701D121CD07}" name="Darwin Gusts Round_x000a_m/s" dataDxfId="102"/>
    <tableColumn id="11" xr3:uid="{7D70AEF6-337A-45BD-91C1-DB57F6D34CF6}" name="Darwin Temp._x000a_°C" dataDxfId="101"/>
    <tableColumn id="15" xr3:uid="{29AC730F-DDF5-432C-959A-45FFE39949BC}" name="Darwin MW TOTAL BARRA A" dataDxfId="100"/>
    <tableColumn id="14" xr3:uid="{AAAE6064-2E6E-4BA0-BF2C-A325F19F736B}" name="Darwin MW TOTAL BARRA B" dataDxfId="99"/>
    <tableColumn id="13" xr3:uid="{7A44405E-9798-4E5B-AEF1-A00F8EE41F25}" name="Darwin PLOM_x000a_MW" dataDxfId="98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7" dataDxfId="96">
  <autoFilter ref="B3:AV229" xr:uid="{88A0CA80-E5D4-49EB-A90A-1F081A73746E}"/>
  <tableColumns count="47">
    <tableColumn id="1" xr3:uid="{B276795F-CE1C-4F4D-9355-1F4D7F83B228}" name="Fecha" dataDxfId="95"/>
    <tableColumn id="2" xr3:uid="{DBD55A2B-256B-4128-A88E-FBC558046D10}" name="Hora" dataDxfId="94">
      <calculatedColumnFormula>C3+TIME(1,0,0)</calculatedColumnFormula>
    </tableColumn>
    <tableColumn id="13" xr3:uid="{FB3F7F25-347A-470E-BD19-87E6FF9ABA66}" name="MW TOTAL CE" dataDxfId="93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2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1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90">
      <calculatedColumnFormula>'Plantilla Datos'!D9</calculatedColumnFormula>
    </tableColumn>
    <tableColumn id="4" xr3:uid="{985E9C16-A8DE-47E3-B641-B55EDEDD62BA}" name="Darwin Gusts_x000a_m/s" dataDxfId="89">
      <calculatedColumnFormula>'Plantilla Datos'!E9</calculatedColumnFormula>
    </tableColumn>
    <tableColumn id="6" xr3:uid="{3C0EA449-1FB9-4674-A589-7BA6F6BD5E3B}" name="Darwin Temp._x000a_°C" dataDxfId="88">
      <calculatedColumnFormula>'Plantilla Datos'!F9</calculatedColumnFormula>
    </tableColumn>
    <tableColumn id="5" xr3:uid="{EA1FDDBF-077B-4BD1-B2CF-01C86F1248CF}" name="Darwin Gusts Round Cerro_x000a_m/s" dataDxfId="87">
      <calculatedColumnFormula>CEILING('Plantilla Datos'!$L$3*TBL_CalcDarwin[[#This Row],[Darwin Gusts
m/s]],0.5)</calculatedColumnFormula>
    </tableColumn>
    <tableColumn id="45" xr3:uid="{D99E189C-6109-4A50-BFA7-7DCD96EA675B}" name="Darwin Gusts Round Medio_x000a_m/s" dataDxfId="86">
      <calculatedColumnFormula>CEILING('Plantilla Datos'!$L$4*TBL_CalcDarwin[[#This Row],[Darwin Gusts
m/s]],0.5)</calculatedColumnFormula>
    </tableColumn>
    <tableColumn id="44" xr3:uid="{D6CED880-3177-4145-B4AE-80823BA3DFB2}" name="Darwin Gusts Round Mar_x000a_m/s" dataDxfId="85">
      <calculatedColumnFormula>CEILING(TBL_CalcDarwin[[#This Row],[Darwin Gusts
m/s]],0.5)</calculatedColumnFormula>
    </tableColumn>
    <tableColumn id="26" xr3:uid="{F4EEBFCA-2A87-41A1-863E-15D5FE239AAF}" name="Derate Temp. AEG 5.2 MW" dataDxfId="84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3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2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1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80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9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8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7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6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5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4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3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2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1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70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9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8">
      <calculatedColumnFormula>HLOOKUP(TBL_CalcDarwin[[#This Row],[Fecha]],'Plantilla AEG ES'!$E$1:$HX$13,2,FALSE)</calculatedColumnFormula>
    </tableColumn>
    <tableColumn id="30" xr3:uid="{827A19B0-74B1-46F4-BCEE-129E7FF2E96B}" name="Lomitas - Barra A - 5.2 - Medio" dataDxfId="67">
      <calculatedColumnFormula>HLOOKUP(TBL_CalcDarwin[[#This Row],[Fecha]],'Plantilla AEG ES'!$E$1:$HX$13,3,FALSE)</calculatedColumnFormula>
    </tableColumn>
    <tableColumn id="36" xr3:uid="{CAA40EE2-5392-4B60-ADAA-595DDF8D55E5}" name="Lomitas - Barra A - 5.2 - Mar" dataDxfId="66">
      <calculatedColumnFormula>HLOOKUP(TBL_CalcDarwin[[#This Row],[Fecha]],'Plantilla AEG ES'!$E$1:$HX$13,4,FALSE)</calculatedColumnFormula>
    </tableColumn>
    <tableColumn id="35" xr3:uid="{9B654934-4254-4CF2-8E57-017BA7AA6DCE}" name="Expansión - Barra A - 5.2 - Cerro" dataDxfId="65">
      <calculatedColumnFormula>HLOOKUP(TBL_CalcDarwin[[#This Row],[Fecha]],'Plantilla AEG ES'!$E$1:$HX$13,5,FALSE)</calculatedColumnFormula>
    </tableColumn>
    <tableColumn id="34" xr3:uid="{C06865B5-EA74-4E80-B6FA-69AFAFDDD522}" name="Expansión - Barra A - 5.2 - Medio" dataDxfId="64">
      <calculatedColumnFormula>HLOOKUP(TBL_CalcDarwin[[#This Row],[Fecha]],'Plantilla AEG ES'!$E$1:$HX$13,6,FALSE)</calculatedColumnFormula>
    </tableColumn>
    <tableColumn id="33" xr3:uid="{15D4C68E-9763-4B51-A799-66B434D14D6A}" name="Expansión - Barra A - 5.2 - Mar" dataDxfId="63">
      <calculatedColumnFormula>HLOOKUP(TBL_CalcDarwin[[#This Row],[Fecha]],'Plantilla AEG ES'!$E$1:$HX$13,7,FALSE)</calculatedColumnFormula>
    </tableColumn>
    <tableColumn id="41" xr3:uid="{6D7FA048-B6D1-40F2-BCCD-77F5E83A5337}" name="Lomitas - Barra B - 5.2 - Cerro" dataDxfId="62">
      <calculatedColumnFormula>HLOOKUP(TBL_CalcDarwin[[#This Row],[Fecha]],'Plantilla AEG ES'!$E$1:$HX$13,8,FALSE)</calculatedColumnFormula>
    </tableColumn>
    <tableColumn id="40" xr3:uid="{F2499846-EBE4-4B23-A16A-D40CFB39A18C}" name="Lomitas - Barra B - 5.2 - Medio" dataDxfId="61">
      <calculatedColumnFormula>HLOOKUP(TBL_CalcDarwin[[#This Row],[Fecha]],'Plantilla AEG ES'!$E$1:$HX$13,9,FALSE)</calculatedColumnFormula>
    </tableColumn>
    <tableColumn id="39" xr3:uid="{0869EC05-0B3B-44FD-9E2A-73F3D2D5E2E1}" name="Lomitas - Barra B - 5.2 - Mar" dataDxfId="60">
      <calculatedColumnFormula>HLOOKUP(TBL_CalcDarwin[[#This Row],[Fecha]],'Plantilla AEG ES'!$E$1:$HX$13,10,FALSE)</calculatedColumnFormula>
    </tableColumn>
    <tableColumn id="38" xr3:uid="{56DED19D-7F65-4A6F-9939-816106498326}" name="Lomitas - Barra B - 5.0 - Cerro" dataDxfId="59">
      <calculatedColumnFormula>HLOOKUP(TBL_CalcDarwin[[#This Row],[Fecha]],'Plantilla AEG ES'!$E$1:$HX$13,11,FALSE)</calculatedColumnFormula>
    </tableColumn>
    <tableColumn id="37" xr3:uid="{B8C067F6-1961-48B4-BD9A-FE20D1D7A3C1}" name="Lomitas - Barra B - 5.0 - Mar" dataDxfId="58">
      <calculatedColumnFormula>HLOOKUP(TBL_CalcDarwin[[#This Row],[Fecha]],'Plantilla AEG ES'!$E$1:$HX$13,12,FALSE)</calculatedColumnFormula>
    </tableColumn>
    <tableColumn id="32" xr3:uid="{D83AD0B1-B73E-4C87-B365-3F583FA4BC63}" name="Expansión - Barra B - 5.2 - Cerro" dataDxfId="57">
      <calculatedColumnFormula>HLOOKUP(TBL_CalcDarwin[[#This Row],[Fecha]],'Plantilla AEG ES'!$E$1:$HX$13,13,FALSE)</calculatedColumnFormula>
    </tableColumn>
    <tableColumn id="10" xr3:uid="{97F1A7DD-E1B2-4E04-9681-1FE463F82BAB}" name="PLOM AEG E/S BARRA A" dataDxfId="56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5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4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3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2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1">
      <calculatedColumnFormula>TBL_CalcDarwin[[#This Row],[Expansión - Barra B - 5.2 - Cerro]]</calculatedColumnFormula>
    </tableColumn>
    <tableColumn id="20" xr3:uid="{D81499E4-387C-4E41-87C6-A538DCD47B19}" name="PLOME MW TOTAL BARRA A" dataDxfId="50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9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3B01-9BE7-4C19-9C9D-DE877719519A}" name="Table1" displayName="Table1" ref="F2:L50" totalsRowShown="0" headerRowDxfId="48" dataDxfId="47">
  <autoFilter ref="F2:L50" xr:uid="{0DDE3FFE-CE37-43E6-AB5E-1AE401BF4D09}"/>
  <tableColumns count="7">
    <tableColumn id="1" xr3:uid="{16F1B5BA-D34C-411E-9C5B-20833467E669}" name="Fecha" dataDxfId="46">
      <calculatedColumnFormula>(Table2[[#This Row],[Fecha]]+2)</calculatedColumnFormula>
    </tableColumn>
    <tableColumn id="2" xr3:uid="{56CF45E6-74BD-479A-A91E-0417A651EBD9}" name="Hora" dataDxfId="45">
      <calculatedColumnFormula>Table2[[#This Row],[Hora]]</calculatedColumnFormula>
    </tableColumn>
    <tableColumn id="3" xr3:uid="{BEAA95D9-B33B-484A-9034-6900E41EA79F}" name="MW Proyectada (Barra A)" dataDxfId="44">
      <calculatedColumnFormula>VLOOKUP(Table1[[#This Row],[Fecha]],TBL_CalcDarwin[],42,1)</calculatedColumnFormula>
    </tableColumn>
    <tableColumn id="4" xr3:uid="{1CF57D89-08E2-4848-B4CA-869E60F14D24}" name="MW Proyectada (Barra B)" dataDxfId="43">
      <calculatedColumnFormula>VLOOKUP(Table1[[#This Row],[Fecha]],TBL_CalcDarwin[],43,1)</calculatedColumnFormula>
    </tableColumn>
    <tableColumn id="5" xr3:uid="{2C7976FD-8FDB-48B5-A5DD-3FD87A54A948}" name="AEG DISPONIBLES BARRA A" dataDxfId="42">
      <calculatedColumnFormula>VLOOKUP(Table1[[#This Row],[Fecha]],TBL_CalcDarwin[],40,1)</calculatedColumnFormula>
    </tableColumn>
    <tableColumn id="6" xr3:uid="{301A5512-9E4F-4607-85DE-26E1B4BE7A7A}" name="AEG DISPONIBLES BARRA B" dataDxfId="41">
      <calculatedColumnFormula>VLOOKUP(Table1[[#This Row],[Fecha]],TBL_CalcDarwin[],41,1)</calculatedColumnFormula>
    </tableColumn>
    <tableColumn id="9" xr3:uid="{F291669B-5985-4EE2-B6D9-D9D211A95EAF}" name="TOTAL MW" dataDxfId="40">
      <calculatedColumnFormula>Table1[[#This Row],[MW Proyectada (Barra A)]]+Table1[[#This Row],[MW Proyectada (Barra B)]]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7C80E-890E-48F8-BEF7-349795171EDC}" name="Table2" displayName="Table2" ref="A2:C50" totalsRowShown="0" headerRowDxfId="39">
  <autoFilter ref="A2:C50" xr:uid="{DA87D100-82EA-408F-B7B6-A0A4FF88CEAB}"/>
  <tableColumns count="3">
    <tableColumn id="1" xr3:uid="{9187023A-6E5D-4778-AB7A-D490A6474F51}" name="Fecha" dataDxfId="38"/>
    <tableColumn id="2" xr3:uid="{6A23B25B-8224-4851-A019-D48C6D35C3C4}" name="Hora" dataDxfId="37"/>
    <tableColumn id="3" xr3:uid="{448D6DBB-EB41-4B3F-B2D5-837B9D1BE1BA}" name="Viento m/s" dataDxfId="36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C2DBC0-FE99-4523-95F0-C7B51CEEB968}" name="Table18" displayName="Table18" ref="F2:L50" totalsRowShown="0" headerRowDxfId="35" dataDxfId="34">
  <autoFilter ref="F2:L50" xr:uid="{0DDE3FFE-CE37-43E6-AB5E-1AE401BF4D09}"/>
  <tableColumns count="7">
    <tableColumn id="1" xr3:uid="{62D4A0E8-458F-4E9B-9C3A-FBEBBD7FF3CB}" name="Fecha" dataDxfId="33">
      <calculatedColumnFormula>(Table29[[#This Row],[Fecha]]+2)</calculatedColumnFormula>
    </tableColumn>
    <tableColumn id="2" xr3:uid="{30011FA9-EFB3-4B31-8793-44FB5F0C8A22}" name="Hora" dataDxfId="32">
      <calculatedColumnFormula>Table29[[#This Row],[Hora]]</calculatedColumnFormula>
    </tableColumn>
    <tableColumn id="3" xr3:uid="{82B66F11-3523-4A37-BECE-375EF8A24C68}" name="MW Proyectada (Barra A)" dataDxfId="31">
      <calculatedColumnFormula>VLOOKUP(Table18[[#This Row],[Fecha]],TBL_CalcDarwin[],46,1)</calculatedColumnFormula>
    </tableColumn>
    <tableColumn id="4" xr3:uid="{24034D99-D529-4D28-9EBE-6C145EA8822C}" name="MW Proyectada (Barra B)" dataDxfId="30">
      <calculatedColumnFormula>VLOOKUP(Table18[[#This Row],[Fecha]],TBL_CalcDarwin[],47,1)</calculatedColumnFormula>
    </tableColumn>
    <tableColumn id="5" xr3:uid="{9EB39D5A-22BE-4B05-87EA-5D03AF31C977}" name="AEG DISPONIBLES BARRA A" dataDxfId="29">
      <calculatedColumnFormula>VLOOKUP(Table18[[#This Row],[Fecha]],TBL_CalcDarwin[],44,1)</calculatedColumnFormula>
    </tableColumn>
    <tableColumn id="6" xr3:uid="{98E94EB9-594E-4356-96A5-EC4698E35C3D}" name="AEG DISPONIBLES BARRA B" dataDxfId="28">
      <calculatedColumnFormula>VLOOKUP(Table18[[#This Row],[Fecha]],TBL_CalcDarwin[],45,1)</calculatedColumnFormula>
    </tableColumn>
    <tableColumn id="9" xr3:uid="{8579F102-3332-4E74-9CD1-31766B055947}" name="TOTAL MW" dataDxfId="27">
      <calculatedColumnFormula>Table18[[#This Row],[MW Proyectada (Barra A)]]+Table18[[#This Row],[MW Proyectada (Barra B)]]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82DA00-0E08-40F6-8382-7D762EFD1E8A}" name="Table29" displayName="Table29" ref="A2:C50" totalsRowShown="0" headerRowDxfId="26">
  <autoFilter ref="A2:C50" xr:uid="{DA87D100-82EA-408F-B7B6-A0A4FF88CEAB}"/>
  <tableColumns count="3">
    <tableColumn id="1" xr3:uid="{B75D856E-5D1C-4A84-9862-3F6792E27BFF}" name="Fecha" dataDxfId="25"/>
    <tableColumn id="2" xr3:uid="{3BCDA68B-67BE-4AB2-8D1E-D054999DFBEA}" name="Hora" dataDxfId="24"/>
    <tableColumn id="3" xr3:uid="{B2EB5E13-A65A-403A-B319-D575F4F056B6}" name="Viento m/s" dataDxfId="23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2" dataDxfId="21">
  <autoFilter ref="B2:J228" xr:uid="{0DDE3FFE-CE37-43E6-AB5E-1AE401BF4D09}"/>
  <tableColumns count="9">
    <tableColumn id="1" xr3:uid="{695A6E46-5F8C-40D1-B8A9-81E6A270058E}" name="Fecha" dataDxfId="20"/>
    <tableColumn id="2" xr3:uid="{1165508D-0EF0-486E-8929-3B78648CE145}" name="Hora" dataDxfId="19"/>
    <tableColumn id="7" xr3:uid="{FC1D9EAD-2AC0-4645-96B0-6E29F60F7E30}" name="FECHA /HORA" dataDxfId="18">
      <calculatedColumnFormula>Table110[[#This Row],[Fecha]]</calculatedColumnFormula>
    </tableColumn>
    <tableColumn id="8" xr3:uid="{9231B63A-E0B5-4076-9615-965C8869D1F9}" name="Viento m/s" dataDxfId="17">
      <calculatedColumnFormula>VLOOKUP(Table110[[#This Row],[FECHA /HORA]],TBL_CalcDarwin[],7,0)</calculatedColumnFormula>
    </tableColumn>
    <tableColumn id="3" xr3:uid="{2B6F53CC-28AE-44B0-BB36-612D711C7400}" name="MW Proyectada (Barra A)" dataDxfId="16">
      <calculatedColumnFormula>VLOOKUP(Table110[[#This Row],[FECHA /HORA]],TBL_CalcDarwin[],42,0)</calculatedColumnFormula>
    </tableColumn>
    <tableColumn id="4" xr3:uid="{053EF2E1-3F04-49BA-A60D-F8BB50D8212E}" name="MW Proyectada (Barra B)" dataDxfId="15">
      <calculatedColumnFormula>VLOOKUP(Table110[[#This Row],[FECHA /HORA]],TBL_CalcDarwin[],43,0)</calculatedColumnFormula>
    </tableColumn>
    <tableColumn id="5" xr3:uid="{D9D4015E-C639-4B76-8A7E-09298B191760}" name="AEG DISPONIBLES BARRA A" dataDxfId="14">
      <calculatedColumnFormula>VLOOKUP(Table110[[#This Row],[FECHA /HORA]],TBL_CalcDarwin[],40,0)</calculatedColumnFormula>
    </tableColumn>
    <tableColumn id="6" xr3:uid="{56043B52-7F63-45BE-A142-6B95E77F7C35}" name="AEG DISPONIBLES BARRA B" dataDxfId="13">
      <calculatedColumnFormula>VLOOKUP(Table110[[#This Row],[FECHA /HORA]],TBL_CalcDarwin[],41,0)</calculatedColumnFormula>
    </tableColumn>
    <tableColumn id="9" xr3:uid="{14474769-3C4F-43A2-84C0-9566285CC65C}" name="TOTAL MW" dataDxfId="12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1" dataDxfId="10">
  <autoFilter ref="B2:J228" xr:uid="{84981A0D-CAD3-4F79-9A5E-64939F0D2C62}"/>
  <tableColumns count="9">
    <tableColumn id="1" xr3:uid="{384188B8-FA96-4082-AEB8-AE5DEA3202F6}" name="Fecha" dataDxfId="9">
      <calculatedColumnFormula>Table110[[#This Row],[Fecha]]</calculatedColumnFormula>
    </tableColumn>
    <tableColumn id="2" xr3:uid="{3F0641FD-0947-4789-9A1C-77ABFF3EEEE5}" name="Hora" dataDxfId="8">
      <calculatedColumnFormula>Table110[[#This Row],[Hora]]</calculatedColumnFormula>
    </tableColumn>
    <tableColumn id="8" xr3:uid="{0B3128DB-A004-4E2E-9864-FCDC4ACDB9F7}" name="FECHA /HORA" dataDxfId="7">
      <calculatedColumnFormula>Table14[[#This Row],[Fecha]]</calculatedColumnFormula>
    </tableColumn>
    <tableColumn id="7" xr3:uid="{94ED7C6B-B287-4351-831E-9B0F30EB587A}" name="Viento m/s" dataDxfId="6">
      <calculatedColumnFormula>Table110[[#This Row],[Viento m/s]]</calculatedColumnFormula>
    </tableColumn>
    <tableColumn id="3" xr3:uid="{83044B53-7247-4EC9-8DFC-101495A34E48}" name="MW Proyectada (Barra A)" dataDxfId="5">
      <calculatedColumnFormula>VLOOKUP(Table14[[#This Row],[FECHA /HORA]],TBL_CalcDarwin[],46,0)</calculatedColumnFormula>
    </tableColumn>
    <tableColumn id="4" xr3:uid="{E822FAF5-B6D6-4B7B-A881-BF9308F90E2F}" name="MW Proyectada (Barra B)" dataDxfId="4">
      <calculatedColumnFormula>VLOOKUP(Table14[[#This Row],[FECHA /HORA]],TBL_CalcDarwin[],47,0)</calculatedColumnFormula>
    </tableColumn>
    <tableColumn id="5" xr3:uid="{1BF1E1A4-1BFD-445A-A5D5-D679FD664683}" name="AEG DISPONIBLES BARRA A" dataDxfId="3">
      <calculatedColumnFormula>VLOOKUP(Table14[[#This Row],[FECHA /HORA]],TBL_CalcDarwin[],44,0)</calculatedColumnFormula>
    </tableColumn>
    <tableColumn id="6" xr3:uid="{7C22D775-FACA-4B3F-87E6-10C75663A27F}" name="AEG DISPONIBLES BARRA B" dataDxfId="2">
      <calculatedColumnFormula>VLOOKUP(Table14[[#This Row],[FECHA /HORA]],TBL_CalcDarwin[],45,0)</calculatedColumnFormula>
    </tableColumn>
    <tableColumn id="9" xr3:uid="{6C0471D3-A4DD-40F8-A5DC-B563DD28899B}" name="TOTAL MW" dataDxfId="1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2.xm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2.bin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darwin4res.com/Forecaster/Wind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3.bin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4.bin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customProperty" Target="../customProperty5.bin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customProperty" Target="../customProperty6.bin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customProperty" Target="../customProperty7.bin"/><Relationship Id="rId1" Type="http://schemas.openxmlformats.org/officeDocument/2006/relationships/printerSettings" Target="../printerSettings/printerSettings7.bin"/><Relationship Id="rId4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customProperty" Target="../customProperty8.bin"/><Relationship Id="rId1" Type="http://schemas.openxmlformats.org/officeDocument/2006/relationships/printerSettings" Target="../printerSettings/printerSettings8.bin"/><Relationship Id="rId4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customProperty" Target="../customProperty9.bin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customProperty" Target="../customProperty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customProperties>
    <customPr name="_pios_id" r:id="rId2"/>
  </customProperties>
  <drawing r:id="rId3"/>
  <tableParts count="2"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1A777-3F50-462A-8B4E-06D1534F2E2B}">
  <sheetPr codeName="Sheet6">
    <tabColor theme="8"/>
  </sheetPr>
  <dimension ref="B2:P246"/>
  <sheetViews>
    <sheetView workbookViewId="0">
      <selection activeCell="S14" sqref="S14"/>
    </sheetView>
  </sheetViews>
  <sheetFormatPr defaultColWidth="9.140625" defaultRowHeight="15" x14ac:dyDescent="0.25"/>
  <cols>
    <col min="1" max="1" width="3.28515625" customWidth="1"/>
    <col min="2" max="2" width="20.28515625" customWidth="1"/>
    <col min="3" max="3" width="5.85546875" customWidth="1"/>
    <col min="6" max="6" width="10.85546875" customWidth="1"/>
    <col min="9" max="9" width="18.7109375" bestFit="1" customWidth="1"/>
    <col min="13" max="13" width="18.7109375" bestFit="1" customWidth="1"/>
  </cols>
  <sheetData>
    <row r="2" spans="2:16" x14ac:dyDescent="0.25">
      <c r="B2" s="54" t="s">
        <v>206</v>
      </c>
      <c r="C2" s="54"/>
      <c r="J2" s="131" t="s">
        <v>184</v>
      </c>
      <c r="K2" s="131"/>
      <c r="L2" s="131"/>
    </row>
    <row r="3" spans="2:16" x14ac:dyDescent="0.25">
      <c r="B3" s="54" t="s">
        <v>207</v>
      </c>
      <c r="C3" s="54"/>
      <c r="E3" s="130">
        <v>45583</v>
      </c>
      <c r="F3" s="130"/>
      <c r="J3" s="120" t="s">
        <v>181</v>
      </c>
      <c r="K3" s="121">
        <v>6.8670609397391633</v>
      </c>
      <c r="L3" s="122">
        <f>K3/K5</f>
        <v>0.72126771182767013</v>
      </c>
    </row>
    <row r="4" spans="2:16" x14ac:dyDescent="0.25">
      <c r="B4" s="54" t="s">
        <v>208</v>
      </c>
      <c r="C4" s="54"/>
      <c r="E4" s="129">
        <v>8.3333333333333329E-2</v>
      </c>
      <c r="F4" s="129"/>
      <c r="J4" s="120" t="s">
        <v>182</v>
      </c>
      <c r="K4" s="121">
        <v>8.1056757169263793</v>
      </c>
      <c r="L4" s="122">
        <f>K4/K5</f>
        <v>0.85136308363482582</v>
      </c>
    </row>
    <row r="5" spans="2:16" x14ac:dyDescent="0.25">
      <c r="B5" s="54"/>
      <c r="D5" s="54"/>
      <c r="F5" s="54"/>
      <c r="J5" s="120" t="s">
        <v>183</v>
      </c>
      <c r="K5" s="121">
        <v>9.5208212250874826</v>
      </c>
      <c r="L5" s="122">
        <v>1</v>
      </c>
    </row>
    <row r="6" spans="2:16" ht="15.75" thickBot="1" x14ac:dyDescent="0.3">
      <c r="J6" s="57"/>
      <c r="K6" s="58"/>
      <c r="L6" s="59"/>
    </row>
    <row r="7" spans="2:16" ht="15.75" thickBot="1" x14ac:dyDescent="0.3">
      <c r="B7" s="70" t="s">
        <v>180</v>
      </c>
      <c r="C7" s="134" t="s">
        <v>186</v>
      </c>
      <c r="D7" s="135"/>
      <c r="E7" s="136"/>
      <c r="F7" s="60"/>
      <c r="I7" s="132" t="s">
        <v>185</v>
      </c>
      <c r="J7" s="133"/>
      <c r="M7" s="112" t="s">
        <v>204</v>
      </c>
      <c r="N7" s="113"/>
      <c r="O7" s="113"/>
      <c r="P7" s="114"/>
    </row>
    <row r="8" spans="2:16" ht="45.75" thickBot="1" x14ac:dyDescent="0.3">
      <c r="B8" s="61" t="s">
        <v>0</v>
      </c>
      <c r="C8" s="62" t="s">
        <v>1</v>
      </c>
      <c r="D8" s="62" t="s">
        <v>17</v>
      </c>
      <c r="E8" s="62" t="s">
        <v>18</v>
      </c>
      <c r="F8" s="63" t="s">
        <v>19</v>
      </c>
      <c r="I8" s="61" t="s">
        <v>0</v>
      </c>
      <c r="J8" s="62" t="s">
        <v>1</v>
      </c>
      <c r="K8" s="63" t="s">
        <v>187</v>
      </c>
      <c r="M8" s="109" t="s">
        <v>0</v>
      </c>
      <c r="N8" s="110" t="s">
        <v>1</v>
      </c>
      <c r="O8" s="111" t="s">
        <v>205</v>
      </c>
    </row>
    <row r="9" spans="2:16" x14ac:dyDescent="0.25">
      <c r="B9" s="64">
        <f>$E$3+1+E4</f>
        <v>45584.083333333336</v>
      </c>
      <c r="C9" s="65">
        <f>$E$4</f>
        <v>8.3333333333333329E-2</v>
      </c>
      <c r="D9" s="123">
        <v>1.9</v>
      </c>
      <c r="E9" s="123">
        <v>2.7</v>
      </c>
      <c r="F9" s="124">
        <v>17.3</v>
      </c>
      <c r="I9" s="64">
        <f>$E$3</f>
        <v>45583</v>
      </c>
      <c r="J9" s="65">
        <v>0</v>
      </c>
      <c r="K9" s="68">
        <v>8.8000000000000007</v>
      </c>
      <c r="M9" s="117">
        <f>I9+2</f>
        <v>45585</v>
      </c>
      <c r="N9" s="118">
        <v>0</v>
      </c>
      <c r="O9" s="119">
        <f>'CCE PLOM Diario'!L3+'CCE PLOME Diario'!L3</f>
        <v>27.19</v>
      </c>
    </row>
    <row r="10" spans="2:16" x14ac:dyDescent="0.25">
      <c r="B10" s="64">
        <f>B9+TIME(1,0,0)</f>
        <v>45584.125</v>
      </c>
      <c r="C10" s="65">
        <f>C9+TIME(1,0,0)</f>
        <v>0.125</v>
      </c>
      <c r="D10" s="123">
        <v>1.4</v>
      </c>
      <c r="E10" s="123">
        <v>2.1</v>
      </c>
      <c r="F10" s="124">
        <v>17.100000000000001</v>
      </c>
      <c r="I10" s="64">
        <f>I9+TIME(0,30,0)</f>
        <v>45583.020833333336</v>
      </c>
      <c r="J10" s="65">
        <f>J9+TIME(0,30,0)</f>
        <v>2.0833333333333332E-2</v>
      </c>
      <c r="K10" s="68">
        <v>10.1</v>
      </c>
      <c r="M10" s="64">
        <f>M9+TIME(0,30,0)</f>
        <v>45585.020833333336</v>
      </c>
      <c r="N10" s="65">
        <f>N9+TIME(0,30,0)</f>
        <v>2.0833333333333332E-2</v>
      </c>
      <c r="O10" s="115">
        <f>'CCE PLOM Diario'!L4+'CCE PLOME Diario'!L4</f>
        <v>27.19</v>
      </c>
    </row>
    <row r="11" spans="2:16" x14ac:dyDescent="0.25">
      <c r="B11" s="64">
        <f t="shared" ref="B11:B74" si="0">B10+TIME(1,0,0)</f>
        <v>45584.166666666664</v>
      </c>
      <c r="C11" s="65">
        <f t="shared" ref="C11:C74" si="1">C10+TIME(1,0,0)</f>
        <v>0.16666666666666666</v>
      </c>
      <c r="D11" s="123">
        <v>1.2</v>
      </c>
      <c r="E11" s="123">
        <v>1.9</v>
      </c>
      <c r="F11" s="124">
        <v>16.8</v>
      </c>
      <c r="I11" s="64">
        <f t="shared" ref="I11:I56" si="2">I10+TIME(0,30,0)</f>
        <v>45583.041666666672</v>
      </c>
      <c r="J11" s="65">
        <f t="shared" ref="J11:J56" si="3">J10+TIME(0,30,0)</f>
        <v>4.1666666666666664E-2</v>
      </c>
      <c r="K11" s="68">
        <v>9</v>
      </c>
      <c r="M11" s="64">
        <f t="shared" ref="M11:N26" si="4">M10+TIME(0,30,0)</f>
        <v>45585.041666666672</v>
      </c>
      <c r="N11" s="65">
        <f t="shared" si="4"/>
        <v>4.1666666666666664E-2</v>
      </c>
      <c r="O11" s="115">
        <f>'CCE PLOM Diario'!L5+'CCE PLOME Diario'!L5</f>
        <v>27.19</v>
      </c>
    </row>
    <row r="12" spans="2:16" x14ac:dyDescent="0.25">
      <c r="B12" s="64">
        <f t="shared" si="0"/>
        <v>45584.208333333328</v>
      </c>
      <c r="C12" s="65">
        <f t="shared" si="1"/>
        <v>0.20833333333333331</v>
      </c>
      <c r="D12" s="123">
        <v>1.2</v>
      </c>
      <c r="E12" s="123">
        <v>1.8</v>
      </c>
      <c r="F12" s="124">
        <v>16.600000000000001</v>
      </c>
      <c r="I12" s="64">
        <f t="shared" si="2"/>
        <v>45583.062500000007</v>
      </c>
      <c r="J12" s="65">
        <f t="shared" si="3"/>
        <v>6.25E-2</v>
      </c>
      <c r="K12" s="68">
        <v>8</v>
      </c>
      <c r="M12" s="64">
        <f t="shared" si="4"/>
        <v>45585.062500000007</v>
      </c>
      <c r="N12" s="65">
        <f t="shared" si="4"/>
        <v>6.25E-2</v>
      </c>
      <c r="O12" s="115">
        <f>'CCE PLOM Diario'!L6+'CCE PLOME Diario'!L6</f>
        <v>27.19</v>
      </c>
    </row>
    <row r="13" spans="2:16" x14ac:dyDescent="0.25">
      <c r="B13" s="64">
        <f t="shared" si="0"/>
        <v>45584.249999999993</v>
      </c>
      <c r="C13" s="65">
        <f t="shared" si="1"/>
        <v>0.24999999999999997</v>
      </c>
      <c r="D13" s="123">
        <v>0.7</v>
      </c>
      <c r="E13" s="123">
        <v>1.2</v>
      </c>
      <c r="F13" s="124">
        <v>16.7</v>
      </c>
      <c r="I13" s="64">
        <f t="shared" si="2"/>
        <v>45583.083333333343</v>
      </c>
      <c r="J13" s="65">
        <f t="shared" si="3"/>
        <v>8.3333333333333329E-2</v>
      </c>
      <c r="K13" s="68">
        <v>10.7</v>
      </c>
      <c r="M13" s="64">
        <f t="shared" si="4"/>
        <v>45585.083333333343</v>
      </c>
      <c r="N13" s="65">
        <f t="shared" si="4"/>
        <v>8.3333333333333329E-2</v>
      </c>
      <c r="O13" s="115">
        <f>'CCE PLOM Diario'!L7+'CCE PLOME Diario'!L7</f>
        <v>13.628</v>
      </c>
    </row>
    <row r="14" spans="2:16" x14ac:dyDescent="0.25">
      <c r="B14" s="64">
        <f t="shared" si="0"/>
        <v>45584.291666666657</v>
      </c>
      <c r="C14" s="65">
        <f t="shared" si="1"/>
        <v>0.29166666666666663</v>
      </c>
      <c r="D14" s="123">
        <v>0.7</v>
      </c>
      <c r="E14" s="123">
        <v>1.3</v>
      </c>
      <c r="F14" s="124">
        <v>16.600000000000001</v>
      </c>
      <c r="I14" s="64">
        <f t="shared" si="2"/>
        <v>45583.104166666679</v>
      </c>
      <c r="J14" s="65">
        <f t="shared" si="3"/>
        <v>0.10416666666666666</v>
      </c>
      <c r="K14" s="68">
        <v>9.4</v>
      </c>
      <c r="M14" s="64">
        <f t="shared" si="4"/>
        <v>45585.104166666679</v>
      </c>
      <c r="N14" s="65">
        <f t="shared" si="4"/>
        <v>0.10416666666666666</v>
      </c>
      <c r="O14" s="115">
        <f>'CCE PLOM Diario'!L8+'CCE PLOME Diario'!L8</f>
        <v>13.628</v>
      </c>
    </row>
    <row r="15" spans="2:16" x14ac:dyDescent="0.25">
      <c r="B15" s="64">
        <f t="shared" si="0"/>
        <v>45584.333333333321</v>
      </c>
      <c r="C15" s="65">
        <f t="shared" si="1"/>
        <v>0.33333333333333331</v>
      </c>
      <c r="D15" s="123">
        <v>1.2</v>
      </c>
      <c r="E15" s="123">
        <v>2.2999999999999998</v>
      </c>
      <c r="F15" s="124">
        <v>16.5</v>
      </c>
      <c r="I15" s="64">
        <f t="shared" si="2"/>
        <v>45583.125000000015</v>
      </c>
      <c r="J15" s="65">
        <f t="shared" si="3"/>
        <v>0.12499999999999999</v>
      </c>
      <c r="K15" s="68">
        <v>7.9</v>
      </c>
      <c r="M15" s="64">
        <f t="shared" si="4"/>
        <v>45585.125000000015</v>
      </c>
      <c r="N15" s="65">
        <f t="shared" si="4"/>
        <v>0.12499999999999999</v>
      </c>
      <c r="O15" s="115">
        <f>'CCE PLOM Diario'!L9+'CCE PLOME Diario'!L9</f>
        <v>8.1169999999999991</v>
      </c>
    </row>
    <row r="16" spans="2:16" x14ac:dyDescent="0.25">
      <c r="B16" s="64">
        <f t="shared" si="0"/>
        <v>45584.374999999985</v>
      </c>
      <c r="C16" s="65">
        <f t="shared" si="1"/>
        <v>0.375</v>
      </c>
      <c r="D16" s="123">
        <v>1.6</v>
      </c>
      <c r="E16" s="123">
        <v>3.1</v>
      </c>
      <c r="F16" s="124">
        <v>16.8</v>
      </c>
      <c r="I16" s="64">
        <f t="shared" si="2"/>
        <v>45583.14583333335</v>
      </c>
      <c r="J16" s="65">
        <f t="shared" si="3"/>
        <v>0.14583333333333331</v>
      </c>
      <c r="K16" s="68">
        <v>7.1</v>
      </c>
      <c r="M16" s="64">
        <f t="shared" si="4"/>
        <v>45585.14583333335</v>
      </c>
      <c r="N16" s="65">
        <f t="shared" si="4"/>
        <v>0.14583333333333331</v>
      </c>
      <c r="O16" s="115">
        <f>'CCE PLOM Diario'!L10+'CCE PLOME Diario'!L10</f>
        <v>8.1169999999999991</v>
      </c>
    </row>
    <row r="17" spans="2:15" x14ac:dyDescent="0.25">
      <c r="B17" s="64">
        <f t="shared" si="0"/>
        <v>45584.41666666665</v>
      </c>
      <c r="C17" s="65">
        <f t="shared" si="1"/>
        <v>0.41666666666666669</v>
      </c>
      <c r="D17" s="123">
        <v>1.8</v>
      </c>
      <c r="E17" s="123">
        <v>3.4</v>
      </c>
      <c r="F17" s="124">
        <v>17.2</v>
      </c>
      <c r="I17" s="64">
        <f t="shared" si="2"/>
        <v>45583.166666666686</v>
      </c>
      <c r="J17" s="65">
        <f t="shared" si="3"/>
        <v>0.16666666666666666</v>
      </c>
      <c r="K17" s="68">
        <v>7.5</v>
      </c>
      <c r="M17" s="64">
        <f t="shared" si="4"/>
        <v>45585.166666666686</v>
      </c>
      <c r="N17" s="65">
        <f t="shared" si="4"/>
        <v>0.16666666666666666</v>
      </c>
      <c r="O17" s="115">
        <f>'CCE PLOM Diario'!L11+'CCE PLOME Diario'!L11</f>
        <v>1.42</v>
      </c>
    </row>
    <row r="18" spans="2:15" x14ac:dyDescent="0.25">
      <c r="B18" s="64">
        <f t="shared" si="0"/>
        <v>45584.458333333314</v>
      </c>
      <c r="C18" s="65">
        <f t="shared" si="1"/>
        <v>0.45833333333333337</v>
      </c>
      <c r="D18" s="123">
        <v>2.2999999999999998</v>
      </c>
      <c r="E18" s="123">
        <v>3.9</v>
      </c>
      <c r="F18" s="124">
        <v>17.399999999999999</v>
      </c>
      <c r="I18" s="64">
        <f t="shared" si="2"/>
        <v>45583.187500000022</v>
      </c>
      <c r="J18" s="65">
        <f t="shared" si="3"/>
        <v>0.1875</v>
      </c>
      <c r="K18" s="68">
        <v>7.5</v>
      </c>
      <c r="M18" s="64">
        <f t="shared" si="4"/>
        <v>45585.187500000022</v>
      </c>
      <c r="N18" s="65">
        <f t="shared" si="4"/>
        <v>0.1875</v>
      </c>
      <c r="O18" s="115">
        <f>'CCE PLOM Diario'!L12+'CCE PLOME Diario'!L12</f>
        <v>1.42</v>
      </c>
    </row>
    <row r="19" spans="2:15" x14ac:dyDescent="0.25">
      <c r="B19" s="64">
        <f t="shared" si="0"/>
        <v>45584.499999999978</v>
      </c>
      <c r="C19" s="65">
        <f t="shared" si="1"/>
        <v>0.5</v>
      </c>
      <c r="D19" s="123">
        <v>2.5</v>
      </c>
      <c r="E19" s="123">
        <v>3.7</v>
      </c>
      <c r="F19" s="124">
        <v>17.399999999999999</v>
      </c>
      <c r="I19" s="64">
        <f t="shared" si="2"/>
        <v>45583.208333333358</v>
      </c>
      <c r="J19" s="65">
        <f t="shared" si="3"/>
        <v>0.20833333333333334</v>
      </c>
      <c r="K19" s="68">
        <v>8</v>
      </c>
      <c r="M19" s="64">
        <f t="shared" si="4"/>
        <v>45585.208333333358</v>
      </c>
      <c r="N19" s="65">
        <f t="shared" si="4"/>
        <v>0.20833333333333334</v>
      </c>
      <c r="O19" s="115">
        <f>'CCE PLOM Diario'!L13+'CCE PLOME Diario'!L13</f>
        <v>1.42</v>
      </c>
    </row>
    <row r="20" spans="2:15" x14ac:dyDescent="0.25">
      <c r="B20" s="64">
        <f t="shared" si="0"/>
        <v>45584.541666666642</v>
      </c>
      <c r="C20" s="65">
        <f t="shared" si="1"/>
        <v>0.54166666666666663</v>
      </c>
      <c r="D20" s="123">
        <v>2.9</v>
      </c>
      <c r="E20" s="123">
        <v>3.9</v>
      </c>
      <c r="F20" s="124">
        <v>17.399999999999999</v>
      </c>
      <c r="I20" s="64">
        <f t="shared" si="2"/>
        <v>45583.229166666693</v>
      </c>
      <c r="J20" s="65">
        <f t="shared" si="3"/>
        <v>0.22916666666666669</v>
      </c>
      <c r="K20" s="68">
        <v>9</v>
      </c>
      <c r="M20" s="64">
        <f t="shared" si="4"/>
        <v>45585.229166666693</v>
      </c>
      <c r="N20" s="65">
        <f t="shared" si="4"/>
        <v>0.22916666666666669</v>
      </c>
      <c r="O20" s="115">
        <f>'CCE PLOM Diario'!L14+'CCE PLOME Diario'!L14</f>
        <v>1.42</v>
      </c>
    </row>
    <row r="21" spans="2:15" x14ac:dyDescent="0.25">
      <c r="B21" s="64">
        <f t="shared" si="0"/>
        <v>45584.583333333307</v>
      </c>
      <c r="C21" s="65">
        <f t="shared" si="1"/>
        <v>0.58333333333333326</v>
      </c>
      <c r="D21" s="123">
        <v>3.5</v>
      </c>
      <c r="E21" s="123">
        <v>4.5999999999999996</v>
      </c>
      <c r="F21" s="124">
        <v>17.2</v>
      </c>
      <c r="I21" s="64">
        <f t="shared" si="2"/>
        <v>45583.250000000029</v>
      </c>
      <c r="J21" s="65">
        <f t="shared" si="3"/>
        <v>0.25</v>
      </c>
      <c r="K21" s="68">
        <v>7.2</v>
      </c>
      <c r="M21" s="64">
        <f t="shared" si="4"/>
        <v>45585.250000000029</v>
      </c>
      <c r="N21" s="65">
        <f t="shared" si="4"/>
        <v>0.25</v>
      </c>
      <c r="O21" s="115">
        <f>'CCE PLOM Diario'!L15+'CCE PLOME Diario'!L15</f>
        <v>1.42</v>
      </c>
    </row>
    <row r="22" spans="2:15" x14ac:dyDescent="0.25">
      <c r="B22" s="64">
        <f t="shared" si="0"/>
        <v>45584.624999999971</v>
      </c>
      <c r="C22" s="65">
        <f t="shared" si="1"/>
        <v>0.62499999999999989</v>
      </c>
      <c r="D22" s="123">
        <v>3.7</v>
      </c>
      <c r="E22" s="123">
        <v>4.9000000000000004</v>
      </c>
      <c r="F22" s="124">
        <v>17</v>
      </c>
      <c r="I22" s="64">
        <f t="shared" si="2"/>
        <v>45583.270833333365</v>
      </c>
      <c r="J22" s="65">
        <f t="shared" si="3"/>
        <v>0.27083333333333331</v>
      </c>
      <c r="K22" s="68">
        <v>7.3</v>
      </c>
      <c r="M22" s="64">
        <f t="shared" si="4"/>
        <v>45585.270833333365</v>
      </c>
      <c r="N22" s="65">
        <f t="shared" si="4"/>
        <v>0.27083333333333331</v>
      </c>
      <c r="O22" s="115">
        <f>'CCE PLOM Diario'!L16+'CCE PLOME Diario'!L16</f>
        <v>1.42</v>
      </c>
    </row>
    <row r="23" spans="2:15" x14ac:dyDescent="0.25">
      <c r="B23" s="64">
        <f t="shared" si="0"/>
        <v>45584.666666666635</v>
      </c>
      <c r="C23" s="65">
        <f t="shared" si="1"/>
        <v>0.66666666666666652</v>
      </c>
      <c r="D23" s="123">
        <v>3.8</v>
      </c>
      <c r="E23" s="123">
        <v>5</v>
      </c>
      <c r="F23" s="124">
        <v>16.899999999999999</v>
      </c>
      <c r="I23" s="64">
        <f t="shared" si="2"/>
        <v>45583.291666666701</v>
      </c>
      <c r="J23" s="65">
        <f t="shared" si="3"/>
        <v>0.29166666666666663</v>
      </c>
      <c r="K23" s="68">
        <v>9.1999999999999993</v>
      </c>
      <c r="M23" s="64">
        <f t="shared" si="4"/>
        <v>45585.291666666701</v>
      </c>
      <c r="N23" s="65">
        <f t="shared" si="4"/>
        <v>0.29166666666666663</v>
      </c>
      <c r="O23" s="115">
        <f>'CCE PLOM Diario'!L17+'CCE PLOME Diario'!L17</f>
        <v>0</v>
      </c>
    </row>
    <row r="24" spans="2:15" x14ac:dyDescent="0.25">
      <c r="B24" s="64">
        <f t="shared" si="0"/>
        <v>45584.708333333299</v>
      </c>
      <c r="C24" s="65">
        <f t="shared" si="1"/>
        <v>0.70833333333333315</v>
      </c>
      <c r="D24" s="123">
        <v>4.2</v>
      </c>
      <c r="E24" s="123">
        <v>5.4</v>
      </c>
      <c r="F24" s="124">
        <v>16.899999999999999</v>
      </c>
      <c r="I24" s="64">
        <f t="shared" si="2"/>
        <v>45583.312500000036</v>
      </c>
      <c r="J24" s="65">
        <f t="shared" si="3"/>
        <v>0.31249999999999994</v>
      </c>
      <c r="K24" s="68">
        <v>7.5</v>
      </c>
      <c r="M24" s="64">
        <f t="shared" si="4"/>
        <v>45585.312500000036</v>
      </c>
      <c r="N24" s="65">
        <f t="shared" si="4"/>
        <v>0.31249999999999994</v>
      </c>
      <c r="O24" s="115">
        <f>'CCE PLOM Diario'!L18+'CCE PLOME Diario'!L18</f>
        <v>0</v>
      </c>
    </row>
    <row r="25" spans="2:15" x14ac:dyDescent="0.25">
      <c r="B25" s="64">
        <f t="shared" si="0"/>
        <v>45584.749999999964</v>
      </c>
      <c r="C25" s="65">
        <f t="shared" si="1"/>
        <v>0.74999999999999978</v>
      </c>
      <c r="D25" s="123">
        <v>4.8</v>
      </c>
      <c r="E25" s="123">
        <v>6.2</v>
      </c>
      <c r="F25" s="124">
        <v>16.600000000000001</v>
      </c>
      <c r="I25" s="64">
        <f t="shared" si="2"/>
        <v>45583.333333333372</v>
      </c>
      <c r="J25" s="65">
        <f t="shared" si="3"/>
        <v>0.33333333333333326</v>
      </c>
      <c r="K25" s="68">
        <v>7.8</v>
      </c>
      <c r="M25" s="64">
        <f t="shared" si="4"/>
        <v>45585.333333333372</v>
      </c>
      <c r="N25" s="65">
        <f t="shared" si="4"/>
        <v>0.33333333333333326</v>
      </c>
      <c r="O25" s="115">
        <f>'CCE PLOM Diario'!L19+'CCE PLOME Diario'!L19</f>
        <v>4.508</v>
      </c>
    </row>
    <row r="26" spans="2:15" x14ac:dyDescent="0.25">
      <c r="B26" s="64">
        <f t="shared" si="0"/>
        <v>45584.791666666628</v>
      </c>
      <c r="C26" s="65">
        <f t="shared" si="1"/>
        <v>0.79166666666666641</v>
      </c>
      <c r="D26" s="123">
        <v>5.5</v>
      </c>
      <c r="E26" s="123">
        <v>7</v>
      </c>
      <c r="F26" s="124">
        <v>16.399999999999999</v>
      </c>
      <c r="I26" s="64">
        <f t="shared" si="2"/>
        <v>45583.354166666708</v>
      </c>
      <c r="J26" s="65">
        <f t="shared" si="3"/>
        <v>0.35416666666666657</v>
      </c>
      <c r="K26" s="68">
        <v>6.7</v>
      </c>
      <c r="M26" s="64">
        <f t="shared" si="4"/>
        <v>45585.354166666708</v>
      </c>
      <c r="N26" s="65">
        <f t="shared" si="4"/>
        <v>0.35416666666666657</v>
      </c>
      <c r="O26" s="115">
        <f>'CCE PLOM Diario'!L20+'CCE PLOME Diario'!L20</f>
        <v>4.508</v>
      </c>
    </row>
    <row r="27" spans="2:15" x14ac:dyDescent="0.25">
      <c r="B27" s="64">
        <f t="shared" si="0"/>
        <v>45584.833333333292</v>
      </c>
      <c r="C27" s="65">
        <f t="shared" si="1"/>
        <v>0.83333333333333304</v>
      </c>
      <c r="D27" s="123">
        <v>5.0999999999999996</v>
      </c>
      <c r="E27" s="123">
        <v>6.5</v>
      </c>
      <c r="F27" s="124">
        <v>16.600000000000001</v>
      </c>
      <c r="I27" s="64">
        <f t="shared" si="2"/>
        <v>45583.375000000044</v>
      </c>
      <c r="J27" s="65">
        <f t="shared" si="3"/>
        <v>0.37499999999999989</v>
      </c>
      <c r="K27" s="68">
        <v>7</v>
      </c>
      <c r="M27" s="64">
        <f t="shared" ref="M27:N42" si="5">M26+TIME(0,30,0)</f>
        <v>45585.375000000044</v>
      </c>
      <c r="N27" s="65">
        <f t="shared" si="5"/>
        <v>0.37499999999999989</v>
      </c>
      <c r="O27" s="115">
        <f>'CCE PLOM Diario'!L21+'CCE PLOME Diario'!L21</f>
        <v>13.628</v>
      </c>
    </row>
    <row r="28" spans="2:15" x14ac:dyDescent="0.25">
      <c r="B28" s="64">
        <f t="shared" si="0"/>
        <v>45584.874999999956</v>
      </c>
      <c r="C28" s="65">
        <f t="shared" si="1"/>
        <v>0.87499999999999967</v>
      </c>
      <c r="D28" s="123">
        <v>4.7</v>
      </c>
      <c r="E28" s="123">
        <v>6</v>
      </c>
      <c r="F28" s="124">
        <v>16.7</v>
      </c>
      <c r="I28" s="64">
        <f t="shared" si="2"/>
        <v>45583.395833333379</v>
      </c>
      <c r="J28" s="65">
        <f t="shared" si="3"/>
        <v>0.3958333333333332</v>
      </c>
      <c r="K28" s="68">
        <v>8</v>
      </c>
      <c r="M28" s="64">
        <f t="shared" si="5"/>
        <v>45585.395833333379</v>
      </c>
      <c r="N28" s="65">
        <f t="shared" si="5"/>
        <v>0.3958333333333332</v>
      </c>
      <c r="O28" s="115">
        <f>'CCE PLOM Diario'!L22+'CCE PLOME Diario'!L22</f>
        <v>13.628</v>
      </c>
    </row>
    <row r="29" spans="2:15" x14ac:dyDescent="0.25">
      <c r="B29" s="64">
        <f t="shared" si="0"/>
        <v>45584.916666666621</v>
      </c>
      <c r="C29" s="65">
        <f t="shared" si="1"/>
        <v>0.9166666666666663</v>
      </c>
      <c r="D29" s="123">
        <v>4.3</v>
      </c>
      <c r="E29" s="123">
        <v>5.6</v>
      </c>
      <c r="F29" s="124">
        <v>16.899999999999999</v>
      </c>
      <c r="I29" s="64">
        <f t="shared" si="2"/>
        <v>45583.416666666715</v>
      </c>
      <c r="J29" s="65">
        <f t="shared" si="3"/>
        <v>0.41666666666666652</v>
      </c>
      <c r="K29" s="68">
        <v>10.4</v>
      </c>
      <c r="M29" s="64">
        <f t="shared" si="5"/>
        <v>45585.416666666715</v>
      </c>
      <c r="N29" s="65">
        <f t="shared" si="5"/>
        <v>0.41666666666666652</v>
      </c>
      <c r="O29" s="115">
        <f>'CCE PLOM Diario'!L23+'CCE PLOME Diario'!L23</f>
        <v>27.19</v>
      </c>
    </row>
    <row r="30" spans="2:15" x14ac:dyDescent="0.25">
      <c r="B30" s="64">
        <f t="shared" si="0"/>
        <v>45584.958333333285</v>
      </c>
      <c r="C30" s="65">
        <f t="shared" si="1"/>
        <v>0.95833333333333293</v>
      </c>
      <c r="D30" s="123">
        <v>4.3</v>
      </c>
      <c r="E30" s="123">
        <v>5.5</v>
      </c>
      <c r="F30" s="124">
        <v>16.7</v>
      </c>
      <c r="I30" s="64">
        <f t="shared" si="2"/>
        <v>45583.437500000051</v>
      </c>
      <c r="J30" s="65">
        <f t="shared" si="3"/>
        <v>0.43749999999999983</v>
      </c>
      <c r="K30" s="68">
        <v>10</v>
      </c>
      <c r="M30" s="64">
        <f t="shared" si="5"/>
        <v>45585.437500000051</v>
      </c>
      <c r="N30" s="65">
        <f t="shared" si="5"/>
        <v>0.43749999999999983</v>
      </c>
      <c r="O30" s="115">
        <f>'CCE PLOM Diario'!L24+'CCE PLOME Diario'!L24</f>
        <v>27.19</v>
      </c>
    </row>
    <row r="31" spans="2:15" x14ac:dyDescent="0.25">
      <c r="B31" s="64">
        <f t="shared" si="0"/>
        <v>45584.999999999949</v>
      </c>
      <c r="C31" s="65">
        <f t="shared" si="1"/>
        <v>0.99999999999999956</v>
      </c>
      <c r="D31" s="123">
        <v>4.2</v>
      </c>
      <c r="E31" s="123">
        <v>5.5</v>
      </c>
      <c r="F31" s="124">
        <v>16.600000000000001</v>
      </c>
      <c r="I31" s="64">
        <f t="shared" si="2"/>
        <v>45583.458333333387</v>
      </c>
      <c r="J31" s="65">
        <f t="shared" si="3"/>
        <v>0.45833333333333315</v>
      </c>
      <c r="K31" s="68">
        <v>9.5</v>
      </c>
      <c r="M31" s="64">
        <f t="shared" si="5"/>
        <v>45585.458333333387</v>
      </c>
      <c r="N31" s="65">
        <f t="shared" si="5"/>
        <v>0.45833333333333315</v>
      </c>
      <c r="O31" s="115">
        <f>'CCE PLOM Diario'!L25+'CCE PLOME Diario'!L25</f>
        <v>35.048999999999999</v>
      </c>
    </row>
    <row r="32" spans="2:15" x14ac:dyDescent="0.25">
      <c r="B32" s="64">
        <f t="shared" si="0"/>
        <v>45585.041666666613</v>
      </c>
      <c r="C32" s="65">
        <f t="shared" si="1"/>
        <v>1.0416666666666663</v>
      </c>
      <c r="D32" s="123">
        <v>4.2</v>
      </c>
      <c r="E32" s="123">
        <v>5.4</v>
      </c>
      <c r="F32" s="124">
        <v>16.399999999999999</v>
      </c>
      <c r="I32" s="64">
        <f t="shared" si="2"/>
        <v>45583.479166666722</v>
      </c>
      <c r="J32" s="65">
        <f t="shared" si="3"/>
        <v>0.47916666666666646</v>
      </c>
      <c r="K32" s="68">
        <v>10.5</v>
      </c>
      <c r="M32" s="64">
        <f t="shared" si="5"/>
        <v>45585.479166666722</v>
      </c>
      <c r="N32" s="65">
        <f t="shared" si="5"/>
        <v>0.47916666666666646</v>
      </c>
      <c r="O32" s="115">
        <f>'CCE PLOM Diario'!L26+'CCE PLOME Diario'!L26</f>
        <v>35.048999999999999</v>
      </c>
    </row>
    <row r="33" spans="2:15" x14ac:dyDescent="0.25">
      <c r="B33" s="64">
        <f t="shared" si="0"/>
        <v>45585.083333333278</v>
      </c>
      <c r="C33" s="65">
        <f t="shared" si="1"/>
        <v>1.083333333333333</v>
      </c>
      <c r="D33" s="123">
        <v>3.4</v>
      </c>
      <c r="E33" s="123">
        <v>4.5</v>
      </c>
      <c r="F33" s="124">
        <v>16.5</v>
      </c>
      <c r="I33" s="64">
        <f t="shared" si="2"/>
        <v>45583.500000000058</v>
      </c>
      <c r="J33" s="65">
        <f t="shared" si="3"/>
        <v>0.49999999999999978</v>
      </c>
      <c r="K33" s="68">
        <v>11.7</v>
      </c>
      <c r="M33" s="64">
        <f t="shared" si="5"/>
        <v>45585.500000000058</v>
      </c>
      <c r="N33" s="65">
        <f t="shared" si="5"/>
        <v>0.49999999999999978</v>
      </c>
      <c r="O33" s="115">
        <f>'CCE PLOM Diario'!L27+'CCE PLOME Diario'!L27</f>
        <v>44.189</v>
      </c>
    </row>
    <row r="34" spans="2:15" x14ac:dyDescent="0.25">
      <c r="B34" s="64">
        <f t="shared" si="0"/>
        <v>45585.124999999942</v>
      </c>
      <c r="C34" s="65">
        <f t="shared" si="1"/>
        <v>1.1249999999999998</v>
      </c>
      <c r="D34" s="123">
        <v>2.7</v>
      </c>
      <c r="E34" s="123">
        <v>3.6</v>
      </c>
      <c r="F34" s="124">
        <v>16.5</v>
      </c>
      <c r="I34" s="64">
        <f t="shared" si="2"/>
        <v>45583.520833333394</v>
      </c>
      <c r="J34" s="65">
        <f t="shared" si="3"/>
        <v>0.52083333333333315</v>
      </c>
      <c r="K34" s="68">
        <v>10.8</v>
      </c>
      <c r="M34" s="64">
        <f t="shared" si="5"/>
        <v>45585.520833333394</v>
      </c>
      <c r="N34" s="65">
        <f t="shared" si="5"/>
        <v>0.52083333333333315</v>
      </c>
      <c r="O34" s="115">
        <f>'CCE PLOM Diario'!L28+'CCE PLOME Diario'!L28</f>
        <v>44.189</v>
      </c>
    </row>
    <row r="35" spans="2:15" x14ac:dyDescent="0.25">
      <c r="B35" s="64">
        <f t="shared" si="0"/>
        <v>45585.166666666606</v>
      </c>
      <c r="C35" s="65">
        <f t="shared" si="1"/>
        <v>1.1666666666666665</v>
      </c>
      <c r="D35" s="123">
        <v>1.9</v>
      </c>
      <c r="E35" s="123">
        <v>2.7</v>
      </c>
      <c r="F35" s="124">
        <v>16.5</v>
      </c>
      <c r="I35" s="64">
        <f t="shared" si="2"/>
        <v>45583.54166666673</v>
      </c>
      <c r="J35" s="65">
        <f t="shared" si="3"/>
        <v>0.54166666666666652</v>
      </c>
      <c r="K35" s="68">
        <v>11.1</v>
      </c>
      <c r="M35" s="64">
        <f t="shared" si="5"/>
        <v>45585.54166666673</v>
      </c>
      <c r="N35" s="65">
        <f t="shared" si="5"/>
        <v>0.54166666666666652</v>
      </c>
      <c r="O35" s="115">
        <f>'CCE PLOM Diario'!L29+'CCE PLOME Diario'!L29</f>
        <v>56.915000000000006</v>
      </c>
    </row>
    <row r="36" spans="2:15" x14ac:dyDescent="0.25">
      <c r="B36" s="64">
        <f t="shared" si="0"/>
        <v>45585.20833333327</v>
      </c>
      <c r="C36" s="65">
        <f t="shared" si="1"/>
        <v>1.2083333333333333</v>
      </c>
      <c r="D36" s="123">
        <v>1.9</v>
      </c>
      <c r="E36" s="123">
        <v>2.7</v>
      </c>
      <c r="F36" s="124">
        <v>16.3</v>
      </c>
      <c r="I36" s="64">
        <f t="shared" si="2"/>
        <v>45583.562500000065</v>
      </c>
      <c r="J36" s="65">
        <f t="shared" si="3"/>
        <v>0.56249999999999989</v>
      </c>
      <c r="K36" s="68">
        <v>10.5</v>
      </c>
      <c r="M36" s="64">
        <f t="shared" si="5"/>
        <v>45585.562500000065</v>
      </c>
      <c r="N36" s="65">
        <f t="shared" si="5"/>
        <v>0.56249999999999989</v>
      </c>
      <c r="O36" s="115">
        <f>'CCE PLOM Diario'!L30+'CCE PLOME Diario'!L30</f>
        <v>56.915000000000006</v>
      </c>
    </row>
    <row r="37" spans="2:15" x14ac:dyDescent="0.25">
      <c r="B37" s="64">
        <f t="shared" si="0"/>
        <v>45585.249999999935</v>
      </c>
      <c r="C37" s="65">
        <f t="shared" si="1"/>
        <v>1.25</v>
      </c>
      <c r="D37" s="123">
        <v>1.8</v>
      </c>
      <c r="E37" s="123">
        <v>2.6</v>
      </c>
      <c r="F37" s="124">
        <v>16.399999999999999</v>
      </c>
      <c r="I37" s="64">
        <f t="shared" si="2"/>
        <v>45583.583333333401</v>
      </c>
      <c r="J37" s="65">
        <f t="shared" si="3"/>
        <v>0.58333333333333326</v>
      </c>
      <c r="K37" s="68">
        <v>9.5</v>
      </c>
      <c r="M37" s="64">
        <f t="shared" si="5"/>
        <v>45585.583333333401</v>
      </c>
      <c r="N37" s="65">
        <f t="shared" si="5"/>
        <v>0.58333333333333326</v>
      </c>
      <c r="O37" s="115">
        <f>'CCE PLOM Diario'!L31+'CCE PLOME Diario'!L31</f>
        <v>56.915000000000006</v>
      </c>
    </row>
    <row r="38" spans="2:15" x14ac:dyDescent="0.25">
      <c r="B38" s="64">
        <f t="shared" si="0"/>
        <v>45585.291666666599</v>
      </c>
      <c r="C38" s="65">
        <f t="shared" si="1"/>
        <v>1.2916666666666667</v>
      </c>
      <c r="D38" s="123">
        <v>1.8</v>
      </c>
      <c r="E38" s="123">
        <v>2.5</v>
      </c>
      <c r="F38" s="124">
        <v>16.2</v>
      </c>
      <c r="I38" s="64">
        <f t="shared" si="2"/>
        <v>45583.604166666737</v>
      </c>
      <c r="J38" s="65">
        <f t="shared" si="3"/>
        <v>0.60416666666666663</v>
      </c>
      <c r="K38" s="68">
        <v>11.6</v>
      </c>
      <c r="M38" s="64">
        <f t="shared" si="5"/>
        <v>45585.604166666737</v>
      </c>
      <c r="N38" s="65">
        <f t="shared" si="5"/>
        <v>0.60416666666666663</v>
      </c>
      <c r="O38" s="115">
        <f>'CCE PLOM Diario'!L32+'CCE PLOME Diario'!L32</f>
        <v>56.915000000000006</v>
      </c>
    </row>
    <row r="39" spans="2:15" x14ac:dyDescent="0.25">
      <c r="B39" s="64">
        <f t="shared" si="0"/>
        <v>45585.333333333263</v>
      </c>
      <c r="C39" s="65">
        <f t="shared" si="1"/>
        <v>1.3333333333333335</v>
      </c>
      <c r="D39" s="123">
        <v>2.6</v>
      </c>
      <c r="E39" s="123">
        <v>3.5</v>
      </c>
      <c r="F39" s="124">
        <v>16.7</v>
      </c>
      <c r="I39" s="64">
        <f t="shared" si="2"/>
        <v>45583.625000000073</v>
      </c>
      <c r="J39" s="65">
        <f t="shared" si="3"/>
        <v>0.625</v>
      </c>
      <c r="K39" s="68">
        <v>9.3000000000000007</v>
      </c>
      <c r="M39" s="64">
        <f t="shared" si="5"/>
        <v>45585.625000000073</v>
      </c>
      <c r="N39" s="65">
        <f t="shared" si="5"/>
        <v>0.625</v>
      </c>
      <c r="O39" s="115">
        <f>'CCE PLOM Diario'!L33+'CCE PLOME Diario'!L33</f>
        <v>71.733000000000004</v>
      </c>
    </row>
    <row r="40" spans="2:15" x14ac:dyDescent="0.25">
      <c r="B40" s="64">
        <f t="shared" si="0"/>
        <v>45585.374999999927</v>
      </c>
      <c r="C40" s="65">
        <f t="shared" si="1"/>
        <v>1.3750000000000002</v>
      </c>
      <c r="D40" s="123">
        <v>3.3</v>
      </c>
      <c r="E40" s="123">
        <v>4.4000000000000004</v>
      </c>
      <c r="F40" s="124">
        <v>17.100000000000001</v>
      </c>
      <c r="I40" s="64">
        <f t="shared" si="2"/>
        <v>45583.645833333409</v>
      </c>
      <c r="J40" s="65">
        <f t="shared" si="3"/>
        <v>0.64583333333333337</v>
      </c>
      <c r="K40" s="68">
        <v>10.7</v>
      </c>
      <c r="M40" s="64">
        <f t="shared" si="5"/>
        <v>45585.645833333409</v>
      </c>
      <c r="N40" s="65">
        <f t="shared" si="5"/>
        <v>0.64583333333333337</v>
      </c>
      <c r="O40" s="115">
        <f>'CCE PLOM Diario'!L34+'CCE PLOME Diario'!L34</f>
        <v>71.733000000000004</v>
      </c>
    </row>
    <row r="41" spans="2:15" x14ac:dyDescent="0.25">
      <c r="B41" s="64">
        <f t="shared" si="0"/>
        <v>45585.416666666591</v>
      </c>
      <c r="C41" s="65">
        <f t="shared" si="1"/>
        <v>1.416666666666667</v>
      </c>
      <c r="D41" s="123">
        <v>4.0999999999999996</v>
      </c>
      <c r="E41" s="123">
        <v>5.4</v>
      </c>
      <c r="F41" s="124">
        <v>17.5</v>
      </c>
      <c r="I41" s="64">
        <f t="shared" si="2"/>
        <v>45583.666666666744</v>
      </c>
      <c r="J41" s="65">
        <f t="shared" si="3"/>
        <v>0.66666666666666674</v>
      </c>
      <c r="K41" s="68">
        <v>11</v>
      </c>
      <c r="M41" s="64">
        <f t="shared" si="5"/>
        <v>45585.666666666744</v>
      </c>
      <c r="N41" s="65">
        <f t="shared" si="5"/>
        <v>0.66666666666666674</v>
      </c>
      <c r="O41" s="115">
        <f>'CCE PLOM Diario'!L35+'CCE PLOME Diario'!L35</f>
        <v>88.746999999999986</v>
      </c>
    </row>
    <row r="42" spans="2:15" x14ac:dyDescent="0.25">
      <c r="B42" s="64">
        <f t="shared" si="0"/>
        <v>45585.458333333256</v>
      </c>
      <c r="C42" s="65">
        <f t="shared" si="1"/>
        <v>1.4583333333333337</v>
      </c>
      <c r="D42" s="123">
        <v>4.5</v>
      </c>
      <c r="E42" s="123">
        <v>5.8</v>
      </c>
      <c r="F42" s="124">
        <v>17.8</v>
      </c>
      <c r="I42" s="64">
        <f t="shared" si="2"/>
        <v>45583.68750000008</v>
      </c>
      <c r="J42" s="65">
        <f t="shared" si="3"/>
        <v>0.68750000000000011</v>
      </c>
      <c r="K42" s="68">
        <v>11</v>
      </c>
      <c r="M42" s="64">
        <f t="shared" si="5"/>
        <v>45585.68750000008</v>
      </c>
      <c r="N42" s="65">
        <f t="shared" si="5"/>
        <v>0.68750000000000011</v>
      </c>
      <c r="O42" s="115">
        <f>'CCE PLOM Diario'!L36+'CCE PLOME Diario'!L36</f>
        <v>88.746999999999986</v>
      </c>
    </row>
    <row r="43" spans="2:15" x14ac:dyDescent="0.25">
      <c r="B43" s="64">
        <f t="shared" si="0"/>
        <v>45585.49999999992</v>
      </c>
      <c r="C43" s="65">
        <f t="shared" si="1"/>
        <v>1.5000000000000004</v>
      </c>
      <c r="D43" s="123">
        <v>4.8</v>
      </c>
      <c r="E43" s="123">
        <v>6.2</v>
      </c>
      <c r="F43" s="124">
        <v>18</v>
      </c>
      <c r="I43" s="64">
        <f t="shared" si="2"/>
        <v>45583.708333333416</v>
      </c>
      <c r="J43" s="65">
        <f t="shared" si="3"/>
        <v>0.70833333333333348</v>
      </c>
      <c r="K43" s="68">
        <v>9.1</v>
      </c>
      <c r="M43" s="64">
        <f t="shared" ref="M43:N56" si="6">M42+TIME(0,30,0)</f>
        <v>45585.708333333416</v>
      </c>
      <c r="N43" s="65">
        <f t="shared" si="6"/>
        <v>0.70833333333333348</v>
      </c>
      <c r="O43" s="115">
        <f>'CCE PLOM Diario'!L37+'CCE PLOME Diario'!L37</f>
        <v>88.746999999999986</v>
      </c>
    </row>
    <row r="44" spans="2:15" x14ac:dyDescent="0.25">
      <c r="B44" s="64">
        <f t="shared" si="0"/>
        <v>45585.541666666584</v>
      </c>
      <c r="C44" s="65">
        <f t="shared" si="1"/>
        <v>1.5416666666666672</v>
      </c>
      <c r="D44" s="123">
        <v>5.0999999999999996</v>
      </c>
      <c r="E44" s="123">
        <v>6.9</v>
      </c>
      <c r="F44" s="124">
        <v>18.100000000000001</v>
      </c>
      <c r="I44" s="64">
        <f t="shared" si="2"/>
        <v>45583.729166666752</v>
      </c>
      <c r="J44" s="65">
        <f t="shared" si="3"/>
        <v>0.72916666666666685</v>
      </c>
      <c r="K44" s="68">
        <v>8.6</v>
      </c>
      <c r="M44" s="64">
        <f t="shared" si="6"/>
        <v>45585.729166666752</v>
      </c>
      <c r="N44" s="65">
        <f t="shared" si="6"/>
        <v>0.72916666666666685</v>
      </c>
      <c r="O44" s="115">
        <f>'CCE PLOM Diario'!L38+'CCE PLOME Diario'!L38</f>
        <v>88.746999999999986</v>
      </c>
    </row>
    <row r="45" spans="2:15" x14ac:dyDescent="0.25">
      <c r="B45" s="64">
        <f t="shared" si="0"/>
        <v>45585.583333333248</v>
      </c>
      <c r="C45" s="65">
        <f t="shared" si="1"/>
        <v>1.5833333333333339</v>
      </c>
      <c r="D45" s="123">
        <v>5.4</v>
      </c>
      <c r="E45" s="123">
        <v>6.9</v>
      </c>
      <c r="F45" s="124">
        <v>17.8</v>
      </c>
      <c r="I45" s="64">
        <f t="shared" si="2"/>
        <v>45583.750000000087</v>
      </c>
      <c r="J45" s="65">
        <f t="shared" si="3"/>
        <v>0.75000000000000022</v>
      </c>
      <c r="K45" s="68">
        <v>6.8</v>
      </c>
      <c r="M45" s="64">
        <f t="shared" si="6"/>
        <v>45585.750000000087</v>
      </c>
      <c r="N45" s="65">
        <f t="shared" si="6"/>
        <v>0.75000000000000022</v>
      </c>
      <c r="O45" s="115">
        <f>'CCE PLOM Diario'!L39+'CCE PLOME Diario'!L39</f>
        <v>88.746999999999986</v>
      </c>
    </row>
    <row r="46" spans="2:15" x14ac:dyDescent="0.25">
      <c r="B46" s="64">
        <f t="shared" si="0"/>
        <v>45585.624999999913</v>
      </c>
      <c r="C46" s="65">
        <f t="shared" si="1"/>
        <v>1.6250000000000007</v>
      </c>
      <c r="D46" s="123">
        <v>5.8</v>
      </c>
      <c r="E46" s="123">
        <v>7.3</v>
      </c>
      <c r="F46" s="124">
        <v>17.5</v>
      </c>
      <c r="I46" s="64">
        <f t="shared" si="2"/>
        <v>45583.770833333423</v>
      </c>
      <c r="J46" s="65">
        <f t="shared" si="3"/>
        <v>0.77083333333333359</v>
      </c>
      <c r="K46" s="68">
        <v>7.8</v>
      </c>
      <c r="M46" s="64">
        <f t="shared" si="6"/>
        <v>45585.770833333423</v>
      </c>
      <c r="N46" s="65">
        <f t="shared" si="6"/>
        <v>0.77083333333333359</v>
      </c>
      <c r="O46" s="115">
        <f>'CCE PLOM Diario'!L40+'CCE PLOME Diario'!L40</f>
        <v>88.746999999999986</v>
      </c>
    </row>
    <row r="47" spans="2:15" x14ac:dyDescent="0.25">
      <c r="B47" s="64">
        <f t="shared" si="0"/>
        <v>45585.666666666577</v>
      </c>
      <c r="C47" s="65">
        <f t="shared" si="1"/>
        <v>1.6666666666666674</v>
      </c>
      <c r="D47" s="123">
        <v>6.1</v>
      </c>
      <c r="E47" s="123">
        <v>7.7</v>
      </c>
      <c r="F47" s="124">
        <v>17.2</v>
      </c>
      <c r="I47" s="64">
        <f t="shared" si="2"/>
        <v>45583.791666666759</v>
      </c>
      <c r="J47" s="65">
        <f t="shared" si="3"/>
        <v>0.79166666666666696</v>
      </c>
      <c r="K47" s="68">
        <v>6.8</v>
      </c>
      <c r="M47" s="64">
        <f t="shared" si="6"/>
        <v>45585.791666666759</v>
      </c>
      <c r="N47" s="65">
        <f t="shared" si="6"/>
        <v>0.79166666666666696</v>
      </c>
      <c r="O47" s="115">
        <f>'CCE PLOM Diario'!L41+'CCE PLOME Diario'!L41</f>
        <v>88.746999999999986</v>
      </c>
    </row>
    <row r="48" spans="2:15" x14ac:dyDescent="0.25">
      <c r="B48" s="64">
        <f t="shared" si="0"/>
        <v>45585.708333333241</v>
      </c>
      <c r="C48" s="65">
        <f t="shared" si="1"/>
        <v>1.7083333333333341</v>
      </c>
      <c r="D48" s="123">
        <v>6.2</v>
      </c>
      <c r="E48" s="123">
        <v>7.8</v>
      </c>
      <c r="F48" s="124">
        <v>17</v>
      </c>
      <c r="I48" s="64">
        <f t="shared" si="2"/>
        <v>45583.812500000095</v>
      </c>
      <c r="J48" s="65">
        <f t="shared" si="3"/>
        <v>0.81250000000000033</v>
      </c>
      <c r="K48" s="68">
        <v>6.8</v>
      </c>
      <c r="M48" s="64">
        <f t="shared" si="6"/>
        <v>45585.812500000095</v>
      </c>
      <c r="N48" s="65">
        <f t="shared" si="6"/>
        <v>0.81250000000000033</v>
      </c>
      <c r="O48" s="115">
        <f>'CCE PLOM Diario'!L42+'CCE PLOME Diario'!L42</f>
        <v>88.746999999999986</v>
      </c>
    </row>
    <row r="49" spans="2:15" x14ac:dyDescent="0.25">
      <c r="B49" s="64">
        <f t="shared" si="0"/>
        <v>45585.749999999905</v>
      </c>
      <c r="C49" s="65">
        <f t="shared" si="1"/>
        <v>1.7500000000000009</v>
      </c>
      <c r="D49" s="123">
        <v>6.3</v>
      </c>
      <c r="E49" s="123">
        <v>7.9</v>
      </c>
      <c r="F49" s="124">
        <v>16.7</v>
      </c>
      <c r="I49" s="64">
        <f t="shared" si="2"/>
        <v>45583.83333333343</v>
      </c>
      <c r="J49" s="65">
        <f t="shared" si="3"/>
        <v>0.8333333333333337</v>
      </c>
      <c r="K49" s="68">
        <v>8.6999999999999993</v>
      </c>
      <c r="M49" s="64">
        <f t="shared" si="6"/>
        <v>45585.83333333343</v>
      </c>
      <c r="N49" s="65">
        <f t="shared" si="6"/>
        <v>0.8333333333333337</v>
      </c>
      <c r="O49" s="115">
        <f>'CCE PLOM Diario'!L43+'CCE PLOME Diario'!L43</f>
        <v>100.90100000000001</v>
      </c>
    </row>
    <row r="50" spans="2:15" x14ac:dyDescent="0.25">
      <c r="B50" s="64">
        <f t="shared" si="0"/>
        <v>45585.79166666657</v>
      </c>
      <c r="C50" s="65">
        <f t="shared" si="1"/>
        <v>1.7916666666666676</v>
      </c>
      <c r="D50" s="123">
        <v>6.4</v>
      </c>
      <c r="E50" s="123">
        <v>8</v>
      </c>
      <c r="F50" s="124">
        <v>16.2</v>
      </c>
      <c r="I50" s="64">
        <f t="shared" si="2"/>
        <v>45583.854166666766</v>
      </c>
      <c r="J50" s="65">
        <f t="shared" si="3"/>
        <v>0.85416666666666707</v>
      </c>
      <c r="K50" s="68">
        <v>6.2</v>
      </c>
      <c r="M50" s="64">
        <f t="shared" si="6"/>
        <v>45585.854166666766</v>
      </c>
      <c r="N50" s="65">
        <f t="shared" si="6"/>
        <v>0.85416666666666707</v>
      </c>
      <c r="O50" s="115">
        <f>'CCE PLOM Diario'!L44+'CCE PLOME Diario'!L44</f>
        <v>100.90100000000001</v>
      </c>
    </row>
    <row r="51" spans="2:15" x14ac:dyDescent="0.25">
      <c r="B51" s="64">
        <f t="shared" si="0"/>
        <v>45585.833333333234</v>
      </c>
      <c r="C51" s="65">
        <f t="shared" si="1"/>
        <v>1.8333333333333344</v>
      </c>
      <c r="D51" s="123">
        <v>6.4</v>
      </c>
      <c r="E51" s="123">
        <v>8.1</v>
      </c>
      <c r="F51" s="124">
        <v>16.2</v>
      </c>
      <c r="I51" s="64">
        <f t="shared" si="2"/>
        <v>45583.875000000102</v>
      </c>
      <c r="J51" s="65">
        <f t="shared" si="3"/>
        <v>0.87500000000000044</v>
      </c>
      <c r="K51" s="68">
        <v>9.6</v>
      </c>
      <c r="M51" s="64">
        <f t="shared" si="6"/>
        <v>45585.875000000102</v>
      </c>
      <c r="N51" s="65">
        <f t="shared" si="6"/>
        <v>0.87500000000000044</v>
      </c>
      <c r="O51" s="115">
        <f>'CCE PLOM Diario'!L45+'CCE PLOME Diario'!L45</f>
        <v>100.90100000000001</v>
      </c>
    </row>
    <row r="52" spans="2:15" x14ac:dyDescent="0.25">
      <c r="B52" s="64">
        <f t="shared" si="0"/>
        <v>45585.874999999898</v>
      </c>
      <c r="C52" s="65">
        <f t="shared" si="1"/>
        <v>1.8750000000000011</v>
      </c>
      <c r="D52" s="123">
        <v>6.4</v>
      </c>
      <c r="E52" s="123">
        <v>8.1</v>
      </c>
      <c r="F52" s="124">
        <v>16.2</v>
      </c>
      <c r="I52" s="64">
        <f t="shared" si="2"/>
        <v>45583.895833333438</v>
      </c>
      <c r="J52" s="65">
        <f t="shared" si="3"/>
        <v>0.89583333333333381</v>
      </c>
      <c r="K52" s="68">
        <v>7.8</v>
      </c>
      <c r="M52" s="64">
        <f t="shared" si="6"/>
        <v>45585.895833333438</v>
      </c>
      <c r="N52" s="65">
        <f t="shared" si="6"/>
        <v>0.89583333333333381</v>
      </c>
      <c r="O52" s="115">
        <f>'CCE PLOM Diario'!L46+'CCE PLOME Diario'!L46</f>
        <v>100.90100000000001</v>
      </c>
    </row>
    <row r="53" spans="2:15" x14ac:dyDescent="0.25">
      <c r="B53" s="64">
        <f t="shared" si="0"/>
        <v>45585.916666666562</v>
      </c>
      <c r="C53" s="65">
        <f t="shared" si="1"/>
        <v>1.9166666666666679</v>
      </c>
      <c r="D53" s="123">
        <v>6.5</v>
      </c>
      <c r="E53" s="123">
        <v>8.1999999999999993</v>
      </c>
      <c r="F53" s="124">
        <v>16.3</v>
      </c>
      <c r="I53" s="64">
        <f t="shared" si="2"/>
        <v>45583.916666666773</v>
      </c>
      <c r="J53" s="65">
        <f t="shared" si="3"/>
        <v>0.91666666666666718</v>
      </c>
      <c r="K53" s="68">
        <v>8.6999999999999993</v>
      </c>
      <c r="M53" s="64">
        <f t="shared" si="6"/>
        <v>45585.916666666773</v>
      </c>
      <c r="N53" s="65">
        <f t="shared" si="6"/>
        <v>0.91666666666666718</v>
      </c>
      <c r="O53" s="115">
        <f>'CCE PLOM Diario'!L47+'CCE PLOME Diario'!L47</f>
        <v>100.90100000000001</v>
      </c>
    </row>
    <row r="54" spans="2:15" x14ac:dyDescent="0.25">
      <c r="B54" s="64">
        <f t="shared" si="0"/>
        <v>45585.958333333227</v>
      </c>
      <c r="C54" s="65">
        <f t="shared" si="1"/>
        <v>1.9583333333333346</v>
      </c>
      <c r="D54" s="123">
        <v>6.1</v>
      </c>
      <c r="E54" s="123">
        <v>7.7</v>
      </c>
      <c r="F54" s="124">
        <v>16.2</v>
      </c>
      <c r="I54" s="64">
        <f t="shared" si="2"/>
        <v>45583.937500000109</v>
      </c>
      <c r="J54" s="65">
        <f t="shared" si="3"/>
        <v>0.93750000000000056</v>
      </c>
      <c r="K54" s="68">
        <v>6.5</v>
      </c>
      <c r="M54" s="64">
        <f t="shared" si="6"/>
        <v>45585.937500000109</v>
      </c>
      <c r="N54" s="65">
        <f t="shared" si="6"/>
        <v>0.93750000000000056</v>
      </c>
      <c r="O54" s="115">
        <f>'CCE PLOM Diario'!L48+'CCE PLOME Diario'!L48</f>
        <v>100.90100000000001</v>
      </c>
    </row>
    <row r="55" spans="2:15" x14ac:dyDescent="0.25">
      <c r="B55" s="64">
        <f t="shared" si="0"/>
        <v>45585.999999999891</v>
      </c>
      <c r="C55" s="65">
        <f t="shared" si="1"/>
        <v>2.0000000000000013</v>
      </c>
      <c r="D55" s="123">
        <v>5.7</v>
      </c>
      <c r="E55" s="123">
        <v>7.3</v>
      </c>
      <c r="F55" s="124">
        <v>16.100000000000001</v>
      </c>
      <c r="I55" s="64">
        <f t="shared" si="2"/>
        <v>45583.958333333445</v>
      </c>
      <c r="J55" s="65">
        <f t="shared" si="3"/>
        <v>0.95833333333333393</v>
      </c>
      <c r="K55" s="68">
        <v>8.4</v>
      </c>
      <c r="M55" s="64">
        <f t="shared" si="6"/>
        <v>45585.958333333445</v>
      </c>
      <c r="N55" s="65">
        <f t="shared" si="6"/>
        <v>0.95833333333333393</v>
      </c>
      <c r="O55" s="115">
        <f>'CCE PLOM Diario'!L49+'CCE PLOME Diario'!L49</f>
        <v>88.746999999999986</v>
      </c>
    </row>
    <row r="56" spans="2:15" ht="15.75" thickBot="1" x14ac:dyDescent="0.3">
      <c r="B56" s="64">
        <f t="shared" si="0"/>
        <v>45586.041666666555</v>
      </c>
      <c r="C56" s="65">
        <f t="shared" si="1"/>
        <v>2.0416666666666679</v>
      </c>
      <c r="D56" s="123">
        <v>5.3</v>
      </c>
      <c r="E56" s="123">
        <v>6.8</v>
      </c>
      <c r="F56" s="124">
        <v>16.100000000000001</v>
      </c>
      <c r="I56" s="66">
        <f t="shared" si="2"/>
        <v>45583.979166666781</v>
      </c>
      <c r="J56" s="67">
        <f t="shared" si="3"/>
        <v>0.9791666666666673</v>
      </c>
      <c r="K56" s="69">
        <v>7.5</v>
      </c>
      <c r="M56" s="66">
        <f t="shared" si="6"/>
        <v>45585.979166666781</v>
      </c>
      <c r="N56" s="67">
        <f t="shared" si="6"/>
        <v>0.9791666666666673</v>
      </c>
      <c r="O56" s="116">
        <f>'CCE PLOM Diario'!L50+'CCE PLOME Diario'!L50</f>
        <v>88.746999999999986</v>
      </c>
    </row>
    <row r="57" spans="2:15" x14ac:dyDescent="0.25">
      <c r="B57" s="64">
        <f t="shared" si="0"/>
        <v>45586.083333333219</v>
      </c>
      <c r="C57" s="65">
        <f t="shared" si="1"/>
        <v>2.0833333333333344</v>
      </c>
      <c r="D57" s="123">
        <v>4.5999999999999996</v>
      </c>
      <c r="E57" s="123">
        <v>6</v>
      </c>
      <c r="F57" s="124">
        <v>15.9</v>
      </c>
      <c r="I57" s="55"/>
      <c r="J57" s="56"/>
    </row>
    <row r="58" spans="2:15" x14ac:dyDescent="0.25">
      <c r="B58" s="64">
        <f t="shared" si="0"/>
        <v>45586.124999999884</v>
      </c>
      <c r="C58" s="65">
        <f t="shared" si="1"/>
        <v>2.1250000000000009</v>
      </c>
      <c r="D58" s="123">
        <v>3.9</v>
      </c>
      <c r="E58" s="123">
        <v>5.0999999999999996</v>
      </c>
      <c r="F58" s="124">
        <v>15.8</v>
      </c>
      <c r="I58" s="55"/>
      <c r="J58" s="56"/>
    </row>
    <row r="59" spans="2:15" x14ac:dyDescent="0.25">
      <c r="B59" s="64">
        <f t="shared" si="0"/>
        <v>45586.166666666548</v>
      </c>
      <c r="C59" s="65">
        <f t="shared" si="1"/>
        <v>2.1666666666666674</v>
      </c>
      <c r="D59" s="123">
        <v>3.2</v>
      </c>
      <c r="E59" s="123">
        <v>4.2</v>
      </c>
      <c r="F59" s="124">
        <v>15.7</v>
      </c>
      <c r="I59" s="55"/>
      <c r="J59" s="56"/>
    </row>
    <row r="60" spans="2:15" x14ac:dyDescent="0.25">
      <c r="B60" s="64">
        <f t="shared" si="0"/>
        <v>45586.208333333212</v>
      </c>
      <c r="C60" s="65">
        <f t="shared" si="1"/>
        <v>2.2083333333333339</v>
      </c>
      <c r="D60" s="123">
        <v>3.2</v>
      </c>
      <c r="E60" s="123">
        <v>4.2</v>
      </c>
      <c r="F60" s="124">
        <v>15.8</v>
      </c>
      <c r="I60" s="55"/>
      <c r="J60" s="56"/>
    </row>
    <row r="61" spans="2:15" x14ac:dyDescent="0.25">
      <c r="B61" s="64">
        <f t="shared" si="0"/>
        <v>45586.249999999876</v>
      </c>
      <c r="C61" s="65">
        <f t="shared" si="1"/>
        <v>2.2500000000000004</v>
      </c>
      <c r="D61" s="123">
        <v>3.2</v>
      </c>
      <c r="E61" s="123">
        <v>4.2</v>
      </c>
      <c r="F61" s="124">
        <v>16.3</v>
      </c>
      <c r="I61" s="55"/>
      <c r="J61" s="56"/>
    </row>
    <row r="62" spans="2:15" x14ac:dyDescent="0.25">
      <c r="B62" s="64">
        <f t="shared" si="0"/>
        <v>45586.291666666541</v>
      </c>
      <c r="C62" s="65">
        <f t="shared" si="1"/>
        <v>2.291666666666667</v>
      </c>
      <c r="D62" s="123">
        <v>3.1</v>
      </c>
      <c r="E62" s="123">
        <v>4.2</v>
      </c>
      <c r="F62" s="124">
        <v>16.5</v>
      </c>
      <c r="I62" s="55"/>
      <c r="J62" s="56"/>
    </row>
    <row r="63" spans="2:15" x14ac:dyDescent="0.25">
      <c r="B63" s="64">
        <f t="shared" si="0"/>
        <v>45586.333333333205</v>
      </c>
      <c r="C63" s="65">
        <f t="shared" si="1"/>
        <v>2.3333333333333335</v>
      </c>
      <c r="D63" s="123">
        <v>3.9</v>
      </c>
      <c r="E63" s="123">
        <v>5.2</v>
      </c>
      <c r="F63" s="124">
        <v>17.3</v>
      </c>
      <c r="I63" s="55"/>
      <c r="J63" s="56"/>
    </row>
    <row r="64" spans="2:15" x14ac:dyDescent="0.25">
      <c r="B64" s="64">
        <f t="shared" si="0"/>
        <v>45586.374999999869</v>
      </c>
      <c r="C64" s="65">
        <f t="shared" si="1"/>
        <v>2.375</v>
      </c>
      <c r="D64" s="123">
        <v>4.7</v>
      </c>
      <c r="E64" s="123">
        <v>6.1</v>
      </c>
      <c r="F64" s="124">
        <v>18.100000000000001</v>
      </c>
      <c r="I64" s="55"/>
      <c r="J64" s="56"/>
    </row>
    <row r="65" spans="2:10" x14ac:dyDescent="0.25">
      <c r="B65" s="64">
        <f t="shared" si="0"/>
        <v>45586.416666666533</v>
      </c>
      <c r="C65" s="65">
        <f t="shared" si="1"/>
        <v>2.4166666666666665</v>
      </c>
      <c r="D65" s="123">
        <v>5.5</v>
      </c>
      <c r="E65" s="123">
        <v>7.1</v>
      </c>
      <c r="F65" s="124">
        <v>18.899999999999999</v>
      </c>
      <c r="I65" s="55"/>
      <c r="J65" s="56"/>
    </row>
    <row r="66" spans="2:10" x14ac:dyDescent="0.25">
      <c r="B66" s="64">
        <f t="shared" si="0"/>
        <v>45586.458333333198</v>
      </c>
      <c r="C66" s="65">
        <f t="shared" si="1"/>
        <v>2.458333333333333</v>
      </c>
      <c r="D66" s="123">
        <v>6.1</v>
      </c>
      <c r="E66" s="123">
        <v>7.7</v>
      </c>
      <c r="F66" s="124">
        <v>19</v>
      </c>
      <c r="I66" s="55"/>
      <c r="J66" s="56"/>
    </row>
    <row r="67" spans="2:10" x14ac:dyDescent="0.25">
      <c r="B67" s="64">
        <f t="shared" si="0"/>
        <v>45586.499999999862</v>
      </c>
      <c r="C67" s="65">
        <f t="shared" si="1"/>
        <v>2.4999999999999996</v>
      </c>
      <c r="D67" s="123">
        <v>6.7</v>
      </c>
      <c r="E67" s="123">
        <v>8.4</v>
      </c>
      <c r="F67" s="124">
        <v>19.100000000000001</v>
      </c>
      <c r="I67" s="55"/>
      <c r="J67" s="56"/>
    </row>
    <row r="68" spans="2:10" x14ac:dyDescent="0.25">
      <c r="B68" s="64">
        <f t="shared" si="0"/>
        <v>45586.541666666526</v>
      </c>
      <c r="C68" s="65">
        <f t="shared" si="1"/>
        <v>2.5416666666666661</v>
      </c>
      <c r="D68" s="123">
        <v>7.2</v>
      </c>
      <c r="E68" s="123">
        <v>9.1</v>
      </c>
      <c r="F68" s="124">
        <v>19.100000000000001</v>
      </c>
      <c r="I68" s="55"/>
      <c r="J68" s="56"/>
    </row>
    <row r="69" spans="2:10" x14ac:dyDescent="0.25">
      <c r="B69" s="64">
        <f t="shared" si="0"/>
        <v>45586.58333333319</v>
      </c>
      <c r="C69" s="65">
        <f t="shared" si="1"/>
        <v>2.5833333333333326</v>
      </c>
      <c r="D69" s="123">
        <v>7.4</v>
      </c>
      <c r="E69" s="123">
        <v>9.3000000000000007</v>
      </c>
      <c r="F69" s="124">
        <v>18.8</v>
      </c>
      <c r="I69" s="55"/>
      <c r="J69" s="56"/>
    </row>
    <row r="70" spans="2:10" x14ac:dyDescent="0.25">
      <c r="B70" s="64">
        <f t="shared" si="0"/>
        <v>45586.624999999854</v>
      </c>
      <c r="C70" s="65">
        <f t="shared" si="1"/>
        <v>2.6249999999999991</v>
      </c>
      <c r="D70" s="123">
        <v>7.6</v>
      </c>
      <c r="E70" s="123">
        <v>9.6</v>
      </c>
      <c r="F70" s="124">
        <v>18.5</v>
      </c>
      <c r="I70" s="55"/>
      <c r="J70" s="56"/>
    </row>
    <row r="71" spans="2:10" x14ac:dyDescent="0.25">
      <c r="B71" s="64">
        <f t="shared" si="0"/>
        <v>45586.666666666519</v>
      </c>
      <c r="C71" s="65">
        <f t="shared" si="1"/>
        <v>2.6666666666666656</v>
      </c>
      <c r="D71" s="123">
        <v>7.9</v>
      </c>
      <c r="E71" s="123">
        <v>9.8000000000000007</v>
      </c>
      <c r="F71" s="124">
        <v>18.2</v>
      </c>
      <c r="I71" s="55"/>
      <c r="J71" s="56"/>
    </row>
    <row r="72" spans="2:10" x14ac:dyDescent="0.25">
      <c r="B72" s="64">
        <f t="shared" si="0"/>
        <v>45586.708333333183</v>
      </c>
      <c r="C72" s="65">
        <f t="shared" si="1"/>
        <v>2.7083333333333321</v>
      </c>
      <c r="D72" s="123">
        <v>8.1</v>
      </c>
      <c r="E72" s="123">
        <v>10.1</v>
      </c>
      <c r="F72" s="124">
        <v>17.7</v>
      </c>
      <c r="I72" s="55"/>
      <c r="J72" s="56"/>
    </row>
    <row r="73" spans="2:10" x14ac:dyDescent="0.25">
      <c r="B73" s="64">
        <f t="shared" si="0"/>
        <v>45586.749999999847</v>
      </c>
      <c r="C73" s="65">
        <f t="shared" si="1"/>
        <v>2.7499999999999987</v>
      </c>
      <c r="D73" s="123">
        <v>8.3000000000000007</v>
      </c>
      <c r="E73" s="123">
        <v>10.3</v>
      </c>
      <c r="F73" s="124">
        <v>17.2</v>
      </c>
      <c r="I73" s="55"/>
      <c r="J73" s="56"/>
    </row>
    <row r="74" spans="2:10" x14ac:dyDescent="0.25">
      <c r="B74" s="64">
        <f t="shared" si="0"/>
        <v>45586.791666666511</v>
      </c>
      <c r="C74" s="65">
        <f t="shared" si="1"/>
        <v>2.7916666666666652</v>
      </c>
      <c r="D74" s="123">
        <v>8.5</v>
      </c>
      <c r="E74" s="123">
        <v>10.6</v>
      </c>
      <c r="F74" s="124">
        <v>16.5</v>
      </c>
      <c r="I74" s="55"/>
      <c r="J74" s="56"/>
    </row>
    <row r="75" spans="2:10" x14ac:dyDescent="0.25">
      <c r="B75" s="64">
        <f t="shared" ref="B75:B138" si="7">B74+TIME(1,0,0)</f>
        <v>45586.833333333176</v>
      </c>
      <c r="C75" s="65">
        <f t="shared" ref="C75:C138" si="8">C74+TIME(1,0,0)</f>
        <v>2.8333333333333317</v>
      </c>
      <c r="D75" s="123">
        <v>8.3000000000000007</v>
      </c>
      <c r="E75" s="123">
        <v>10.4</v>
      </c>
      <c r="F75" s="124">
        <v>16.5</v>
      </c>
      <c r="I75" s="55"/>
      <c r="J75" s="56"/>
    </row>
    <row r="76" spans="2:10" x14ac:dyDescent="0.25">
      <c r="B76" s="64">
        <f t="shared" si="7"/>
        <v>45586.87499999984</v>
      </c>
      <c r="C76" s="65">
        <f t="shared" si="8"/>
        <v>2.8749999999999982</v>
      </c>
      <c r="D76" s="123">
        <v>8.1</v>
      </c>
      <c r="E76" s="123">
        <v>10.199999999999999</v>
      </c>
      <c r="F76" s="124">
        <v>16.5</v>
      </c>
      <c r="I76" s="55"/>
      <c r="J76" s="56"/>
    </row>
    <row r="77" spans="2:10" x14ac:dyDescent="0.25">
      <c r="B77" s="64">
        <f t="shared" si="7"/>
        <v>45586.916666666504</v>
      </c>
      <c r="C77" s="65">
        <f t="shared" si="8"/>
        <v>2.9166666666666647</v>
      </c>
      <c r="D77" s="123">
        <v>8</v>
      </c>
      <c r="E77" s="123">
        <v>10</v>
      </c>
      <c r="F77" s="124">
        <v>16.5</v>
      </c>
      <c r="I77" s="55"/>
      <c r="J77" s="56"/>
    </row>
    <row r="78" spans="2:10" x14ac:dyDescent="0.25">
      <c r="B78" s="64">
        <f t="shared" si="7"/>
        <v>45586.958333333168</v>
      </c>
      <c r="C78" s="65">
        <f t="shared" si="8"/>
        <v>2.9583333333333313</v>
      </c>
      <c r="D78" s="123">
        <v>7.2</v>
      </c>
      <c r="E78" s="123">
        <v>9</v>
      </c>
      <c r="F78" s="124">
        <v>16.7</v>
      </c>
      <c r="I78" s="55"/>
      <c r="J78" s="56"/>
    </row>
    <row r="79" spans="2:10" x14ac:dyDescent="0.25">
      <c r="B79" s="64">
        <f t="shared" si="7"/>
        <v>45586.999999999833</v>
      </c>
      <c r="C79" s="65">
        <f t="shared" si="8"/>
        <v>2.9999999999999978</v>
      </c>
      <c r="D79" s="123">
        <v>6.4</v>
      </c>
      <c r="E79" s="123">
        <v>8.1</v>
      </c>
      <c r="F79" s="124">
        <v>16.8</v>
      </c>
      <c r="I79" s="55"/>
      <c r="J79" s="56"/>
    </row>
    <row r="80" spans="2:10" x14ac:dyDescent="0.25">
      <c r="B80" s="64">
        <f t="shared" si="7"/>
        <v>45587.041666666497</v>
      </c>
      <c r="C80" s="65">
        <f t="shared" si="8"/>
        <v>3.0416666666666643</v>
      </c>
      <c r="D80" s="123">
        <v>5.6</v>
      </c>
      <c r="E80" s="123">
        <v>7.2</v>
      </c>
      <c r="F80" s="124">
        <v>16.899999999999999</v>
      </c>
      <c r="I80" s="55"/>
      <c r="J80" s="56"/>
    </row>
    <row r="81" spans="2:10" x14ac:dyDescent="0.25">
      <c r="B81" s="64">
        <f t="shared" si="7"/>
        <v>45587.083333333161</v>
      </c>
      <c r="C81" s="65">
        <f t="shared" si="8"/>
        <v>3.0833333333333308</v>
      </c>
      <c r="D81" s="123">
        <v>5.7</v>
      </c>
      <c r="E81" s="123">
        <v>7.2</v>
      </c>
      <c r="F81" s="124">
        <v>16.600000000000001</v>
      </c>
      <c r="I81" s="55"/>
      <c r="J81" s="56"/>
    </row>
    <row r="82" spans="2:10" x14ac:dyDescent="0.25">
      <c r="B82" s="64">
        <f t="shared" si="7"/>
        <v>45587.124999999825</v>
      </c>
      <c r="C82" s="65">
        <f t="shared" si="8"/>
        <v>3.1249999999999973</v>
      </c>
      <c r="D82" s="123">
        <v>5.8</v>
      </c>
      <c r="E82" s="123">
        <v>7.3</v>
      </c>
      <c r="F82" s="124">
        <v>16.399999999999999</v>
      </c>
      <c r="I82" s="55"/>
      <c r="J82" s="56"/>
    </row>
    <row r="83" spans="2:10" x14ac:dyDescent="0.25">
      <c r="B83" s="64">
        <f t="shared" si="7"/>
        <v>45587.16666666649</v>
      </c>
      <c r="C83" s="65">
        <f t="shared" si="8"/>
        <v>3.1666666666666639</v>
      </c>
      <c r="D83" s="123">
        <v>5.8</v>
      </c>
      <c r="E83" s="123">
        <v>7.4</v>
      </c>
      <c r="F83" s="124">
        <v>16.100000000000001</v>
      </c>
      <c r="I83" s="55"/>
      <c r="J83" s="56"/>
    </row>
    <row r="84" spans="2:10" x14ac:dyDescent="0.25">
      <c r="B84" s="64">
        <f t="shared" si="7"/>
        <v>45587.208333333154</v>
      </c>
      <c r="C84" s="65">
        <f t="shared" si="8"/>
        <v>3.2083333333333304</v>
      </c>
      <c r="D84" s="123">
        <v>6.7</v>
      </c>
      <c r="E84" s="123">
        <v>8.4</v>
      </c>
      <c r="F84" s="124">
        <v>15.9</v>
      </c>
      <c r="I84" s="55"/>
      <c r="J84" s="56"/>
    </row>
    <row r="85" spans="2:10" x14ac:dyDescent="0.25">
      <c r="B85" s="64">
        <f t="shared" si="7"/>
        <v>45587.249999999818</v>
      </c>
      <c r="C85" s="65">
        <f t="shared" si="8"/>
        <v>3.2499999999999969</v>
      </c>
      <c r="D85" s="123">
        <v>7.5</v>
      </c>
      <c r="E85" s="123">
        <v>9.5</v>
      </c>
      <c r="F85" s="124">
        <v>15.9</v>
      </c>
      <c r="I85" s="55"/>
      <c r="J85" s="56"/>
    </row>
    <row r="86" spans="2:10" x14ac:dyDescent="0.25">
      <c r="B86" s="64">
        <f t="shared" si="7"/>
        <v>45587.291666666482</v>
      </c>
      <c r="C86" s="65">
        <f t="shared" si="8"/>
        <v>3.2916666666666634</v>
      </c>
      <c r="D86" s="123">
        <v>8.4</v>
      </c>
      <c r="E86" s="123">
        <v>10.5</v>
      </c>
      <c r="F86" s="124">
        <v>15.8</v>
      </c>
      <c r="I86" s="55"/>
      <c r="J86" s="56"/>
    </row>
    <row r="87" spans="2:10" x14ac:dyDescent="0.25">
      <c r="B87" s="64">
        <f t="shared" si="7"/>
        <v>45587.333333333147</v>
      </c>
      <c r="C87" s="65">
        <f t="shared" si="8"/>
        <v>3.3333333333333299</v>
      </c>
      <c r="D87" s="123">
        <v>8</v>
      </c>
      <c r="E87" s="123">
        <v>10.1</v>
      </c>
      <c r="F87" s="124">
        <v>16.8</v>
      </c>
      <c r="I87" s="55"/>
      <c r="J87" s="56"/>
    </row>
    <row r="88" spans="2:10" x14ac:dyDescent="0.25">
      <c r="B88" s="64">
        <f t="shared" si="7"/>
        <v>45587.374999999811</v>
      </c>
      <c r="C88" s="65">
        <f t="shared" si="8"/>
        <v>3.3749999999999964</v>
      </c>
      <c r="D88" s="123">
        <v>7.7</v>
      </c>
      <c r="E88" s="123">
        <v>9.6</v>
      </c>
      <c r="F88" s="124">
        <v>17.8</v>
      </c>
      <c r="I88" s="55"/>
      <c r="J88" s="56"/>
    </row>
    <row r="89" spans="2:10" x14ac:dyDescent="0.25">
      <c r="B89" s="64">
        <f t="shared" si="7"/>
        <v>45587.416666666475</v>
      </c>
      <c r="C89" s="65">
        <f t="shared" si="8"/>
        <v>3.416666666666663</v>
      </c>
      <c r="D89" s="123">
        <v>7.3</v>
      </c>
      <c r="E89" s="123">
        <v>9.1999999999999993</v>
      </c>
      <c r="F89" s="124">
        <v>18.899999999999999</v>
      </c>
      <c r="I89" s="55"/>
      <c r="J89" s="56"/>
    </row>
    <row r="90" spans="2:10" x14ac:dyDescent="0.25">
      <c r="B90" s="64">
        <f t="shared" si="7"/>
        <v>45587.458333333139</v>
      </c>
      <c r="C90" s="65">
        <f t="shared" si="8"/>
        <v>3.4583333333333295</v>
      </c>
      <c r="D90" s="123">
        <v>7.6</v>
      </c>
      <c r="E90" s="123">
        <v>9.6</v>
      </c>
      <c r="F90" s="124">
        <v>19.3</v>
      </c>
      <c r="I90" s="55"/>
      <c r="J90" s="56"/>
    </row>
    <row r="91" spans="2:10" x14ac:dyDescent="0.25">
      <c r="B91" s="64">
        <f t="shared" si="7"/>
        <v>45587.499999999804</v>
      </c>
      <c r="C91" s="65">
        <f t="shared" si="8"/>
        <v>3.499999999999996</v>
      </c>
      <c r="D91" s="123">
        <v>7.9</v>
      </c>
      <c r="E91" s="123">
        <v>9.9</v>
      </c>
      <c r="F91" s="124">
        <v>19.7</v>
      </c>
      <c r="I91" s="55"/>
      <c r="J91" s="56"/>
    </row>
    <row r="92" spans="2:10" x14ac:dyDescent="0.25">
      <c r="B92" s="64">
        <f t="shared" si="7"/>
        <v>45587.541666666468</v>
      </c>
      <c r="C92" s="65">
        <f t="shared" si="8"/>
        <v>3.5416666666666625</v>
      </c>
      <c r="D92" s="123">
        <v>8.1999999999999993</v>
      </c>
      <c r="E92" s="123">
        <v>10.199999999999999</v>
      </c>
      <c r="F92" s="124">
        <v>20</v>
      </c>
      <c r="I92" s="55"/>
      <c r="J92" s="56"/>
    </row>
    <row r="93" spans="2:10" x14ac:dyDescent="0.25">
      <c r="B93" s="64">
        <f t="shared" si="7"/>
        <v>45587.583333333132</v>
      </c>
      <c r="C93" s="65">
        <f t="shared" si="8"/>
        <v>3.583333333333329</v>
      </c>
      <c r="D93" s="123">
        <v>8.1999999999999993</v>
      </c>
      <c r="E93" s="123">
        <v>10.3</v>
      </c>
      <c r="F93" s="124">
        <v>19.899999999999999</v>
      </c>
      <c r="I93" s="55"/>
      <c r="J93" s="56"/>
    </row>
    <row r="94" spans="2:10" x14ac:dyDescent="0.25">
      <c r="B94" s="64">
        <f t="shared" si="7"/>
        <v>45587.624999999796</v>
      </c>
      <c r="C94" s="65">
        <f t="shared" si="8"/>
        <v>3.6249999999999956</v>
      </c>
      <c r="D94" s="123">
        <v>8.3000000000000007</v>
      </c>
      <c r="E94" s="123">
        <v>10.4</v>
      </c>
      <c r="F94" s="124">
        <v>19.7</v>
      </c>
      <c r="I94" s="55"/>
      <c r="J94" s="56"/>
    </row>
    <row r="95" spans="2:10" x14ac:dyDescent="0.25">
      <c r="B95" s="64">
        <f t="shared" si="7"/>
        <v>45587.666666666461</v>
      </c>
      <c r="C95" s="65">
        <f t="shared" si="8"/>
        <v>3.6666666666666621</v>
      </c>
      <c r="D95" s="123">
        <v>8.4</v>
      </c>
      <c r="E95" s="123">
        <v>10.5</v>
      </c>
      <c r="F95" s="124">
        <v>19.600000000000001</v>
      </c>
      <c r="I95" s="55"/>
      <c r="J95" s="56"/>
    </row>
    <row r="96" spans="2:10" x14ac:dyDescent="0.25">
      <c r="B96" s="64">
        <f t="shared" si="7"/>
        <v>45587.708333333125</v>
      </c>
      <c r="C96" s="65">
        <f t="shared" si="8"/>
        <v>3.7083333333333286</v>
      </c>
      <c r="D96" s="123">
        <v>8.4</v>
      </c>
      <c r="E96" s="123">
        <v>10.5</v>
      </c>
      <c r="F96" s="124">
        <v>18.899999999999999</v>
      </c>
      <c r="I96" s="55"/>
      <c r="J96" s="56"/>
    </row>
    <row r="97" spans="2:10" x14ac:dyDescent="0.25">
      <c r="B97" s="64">
        <f t="shared" si="7"/>
        <v>45587.749999999789</v>
      </c>
      <c r="C97" s="65">
        <f t="shared" si="8"/>
        <v>3.7499999999999951</v>
      </c>
      <c r="D97" s="123">
        <v>8.5</v>
      </c>
      <c r="E97" s="123">
        <v>10.6</v>
      </c>
      <c r="F97" s="124">
        <v>18.2</v>
      </c>
      <c r="I97" s="55"/>
      <c r="J97" s="56"/>
    </row>
    <row r="98" spans="2:10" x14ac:dyDescent="0.25">
      <c r="B98" s="64">
        <f t="shared" si="7"/>
        <v>45587.791666666453</v>
      </c>
      <c r="C98" s="65">
        <f t="shared" si="8"/>
        <v>3.7916666666666616</v>
      </c>
      <c r="D98" s="123">
        <v>8.5</v>
      </c>
      <c r="E98" s="123">
        <v>10.6</v>
      </c>
      <c r="F98" s="124">
        <v>17.2</v>
      </c>
      <c r="I98" s="55"/>
      <c r="J98" s="56"/>
    </row>
    <row r="99" spans="2:10" x14ac:dyDescent="0.25">
      <c r="B99" s="64">
        <f t="shared" si="7"/>
        <v>45587.833333333117</v>
      </c>
      <c r="C99" s="65">
        <f t="shared" si="8"/>
        <v>3.8333333333333282</v>
      </c>
      <c r="D99" s="123">
        <v>8.6</v>
      </c>
      <c r="E99" s="123">
        <v>10.8</v>
      </c>
      <c r="F99" s="124">
        <v>17.100000000000001</v>
      </c>
      <c r="I99" s="55"/>
      <c r="J99" s="56"/>
    </row>
    <row r="100" spans="2:10" x14ac:dyDescent="0.25">
      <c r="B100" s="64">
        <f t="shared" si="7"/>
        <v>45587.874999999782</v>
      </c>
      <c r="C100" s="65">
        <f t="shared" si="8"/>
        <v>3.8749999999999947</v>
      </c>
      <c r="D100" s="123">
        <v>8.6999999999999993</v>
      </c>
      <c r="E100" s="123">
        <v>10.9</v>
      </c>
      <c r="F100" s="124">
        <v>17</v>
      </c>
      <c r="I100" s="55"/>
      <c r="J100" s="56"/>
    </row>
    <row r="101" spans="2:10" x14ac:dyDescent="0.25">
      <c r="B101" s="64">
        <f t="shared" si="7"/>
        <v>45587.916666666446</v>
      </c>
      <c r="C101" s="65">
        <f t="shared" si="8"/>
        <v>3.9166666666666612</v>
      </c>
      <c r="D101" s="123">
        <v>8.9</v>
      </c>
      <c r="E101" s="123">
        <v>11.1</v>
      </c>
      <c r="F101" s="124">
        <v>16.8</v>
      </c>
      <c r="I101" s="55"/>
      <c r="J101" s="56"/>
    </row>
    <row r="102" spans="2:10" x14ac:dyDescent="0.25">
      <c r="B102" s="64">
        <f t="shared" si="7"/>
        <v>45587.95833333311</v>
      </c>
      <c r="C102" s="65">
        <f t="shared" si="8"/>
        <v>3.9583333333333277</v>
      </c>
      <c r="D102" s="123">
        <v>8.8000000000000007</v>
      </c>
      <c r="E102" s="123">
        <v>11</v>
      </c>
      <c r="F102" s="124">
        <v>16.7</v>
      </c>
      <c r="I102" s="55"/>
      <c r="J102" s="56"/>
    </row>
    <row r="103" spans="2:10" x14ac:dyDescent="0.25">
      <c r="B103" s="64">
        <f t="shared" si="7"/>
        <v>45587.999999999774</v>
      </c>
      <c r="C103" s="65">
        <f t="shared" si="8"/>
        <v>3.9999999999999942</v>
      </c>
      <c r="D103" s="123">
        <v>8.6999999999999993</v>
      </c>
      <c r="E103" s="123">
        <v>10.9</v>
      </c>
      <c r="F103" s="124">
        <v>16.600000000000001</v>
      </c>
      <c r="I103" s="55"/>
      <c r="J103" s="56"/>
    </row>
    <row r="104" spans="2:10" x14ac:dyDescent="0.25">
      <c r="B104" s="64">
        <f t="shared" si="7"/>
        <v>45588.041666666439</v>
      </c>
      <c r="C104" s="65">
        <f t="shared" si="8"/>
        <v>4.0416666666666607</v>
      </c>
      <c r="D104" s="123">
        <v>8.6999999999999993</v>
      </c>
      <c r="E104" s="123">
        <v>10.8</v>
      </c>
      <c r="F104" s="124">
        <v>16.5</v>
      </c>
      <c r="I104" s="55"/>
      <c r="J104" s="56"/>
    </row>
    <row r="105" spans="2:10" x14ac:dyDescent="0.25">
      <c r="B105" s="64">
        <f t="shared" si="7"/>
        <v>45588.083333333103</v>
      </c>
      <c r="C105" s="65">
        <f t="shared" si="8"/>
        <v>4.0833333333333277</v>
      </c>
      <c r="D105" s="123">
        <v>8.1</v>
      </c>
      <c r="E105" s="123">
        <v>10.199999999999999</v>
      </c>
      <c r="F105" s="124">
        <v>16.600000000000001</v>
      </c>
      <c r="I105" s="55"/>
      <c r="J105" s="56"/>
    </row>
    <row r="106" spans="2:10" x14ac:dyDescent="0.25">
      <c r="B106" s="64">
        <f t="shared" si="7"/>
        <v>45588.124999999767</v>
      </c>
      <c r="C106" s="65">
        <f t="shared" si="8"/>
        <v>4.1249999999999947</v>
      </c>
      <c r="D106" s="123">
        <v>7.6</v>
      </c>
      <c r="E106" s="123">
        <v>9.6</v>
      </c>
      <c r="F106" s="124">
        <v>16.7</v>
      </c>
      <c r="I106" s="55"/>
      <c r="J106" s="56"/>
    </row>
    <row r="107" spans="2:10" x14ac:dyDescent="0.25">
      <c r="B107" s="64">
        <f t="shared" si="7"/>
        <v>45588.166666666431</v>
      </c>
      <c r="C107" s="65">
        <f t="shared" si="8"/>
        <v>4.1666666666666616</v>
      </c>
      <c r="D107" s="123">
        <v>7.1</v>
      </c>
      <c r="E107" s="123">
        <v>8.9</v>
      </c>
      <c r="F107" s="124">
        <v>16.8</v>
      </c>
      <c r="I107" s="55"/>
      <c r="J107" s="56"/>
    </row>
    <row r="108" spans="2:10" x14ac:dyDescent="0.25">
      <c r="B108" s="64">
        <f t="shared" si="7"/>
        <v>45588.208333333096</v>
      </c>
      <c r="C108" s="65">
        <f t="shared" si="8"/>
        <v>4.2083333333333286</v>
      </c>
      <c r="D108" s="123">
        <v>6.7</v>
      </c>
      <c r="E108" s="123">
        <v>8.4</v>
      </c>
      <c r="F108" s="124">
        <v>17.100000000000001</v>
      </c>
      <c r="I108" s="55"/>
      <c r="J108" s="56"/>
    </row>
    <row r="109" spans="2:10" x14ac:dyDescent="0.25">
      <c r="B109" s="64">
        <f t="shared" si="7"/>
        <v>45588.24999999976</v>
      </c>
      <c r="C109" s="65">
        <f t="shared" si="8"/>
        <v>4.2499999999999956</v>
      </c>
      <c r="D109" s="123">
        <v>6.2</v>
      </c>
      <c r="E109" s="123">
        <v>7.9</v>
      </c>
      <c r="F109" s="124">
        <v>17.600000000000001</v>
      </c>
      <c r="I109" s="55"/>
      <c r="J109" s="56"/>
    </row>
    <row r="110" spans="2:10" x14ac:dyDescent="0.25">
      <c r="B110" s="64">
        <f t="shared" si="7"/>
        <v>45588.291666666424</v>
      </c>
      <c r="C110" s="65">
        <f t="shared" si="8"/>
        <v>4.2916666666666625</v>
      </c>
      <c r="D110" s="123">
        <v>5.8</v>
      </c>
      <c r="E110" s="123">
        <v>7.4</v>
      </c>
      <c r="F110" s="124">
        <v>17.899999999999999</v>
      </c>
      <c r="I110" s="55"/>
      <c r="J110" s="56"/>
    </row>
    <row r="111" spans="2:10" x14ac:dyDescent="0.25">
      <c r="B111" s="64">
        <f t="shared" si="7"/>
        <v>45588.333333333088</v>
      </c>
      <c r="C111" s="65">
        <f t="shared" si="8"/>
        <v>4.3333333333333295</v>
      </c>
      <c r="D111" s="123">
        <v>6.6</v>
      </c>
      <c r="E111" s="123">
        <v>8.4</v>
      </c>
      <c r="F111" s="124">
        <v>18.5</v>
      </c>
      <c r="I111" s="55"/>
      <c r="J111" s="56"/>
    </row>
    <row r="112" spans="2:10" x14ac:dyDescent="0.25">
      <c r="B112" s="64">
        <f t="shared" si="7"/>
        <v>45588.374999999753</v>
      </c>
      <c r="C112" s="65">
        <f t="shared" si="8"/>
        <v>4.3749999999999964</v>
      </c>
      <c r="D112" s="123">
        <v>7.4</v>
      </c>
      <c r="E112" s="123">
        <v>9.4</v>
      </c>
      <c r="F112" s="124">
        <v>19.2</v>
      </c>
      <c r="I112" s="55"/>
      <c r="J112" s="56"/>
    </row>
    <row r="113" spans="2:10" x14ac:dyDescent="0.25">
      <c r="B113" s="64">
        <f t="shared" si="7"/>
        <v>45588.416666666417</v>
      </c>
      <c r="C113" s="65">
        <f t="shared" si="8"/>
        <v>4.4166666666666634</v>
      </c>
      <c r="D113" s="123">
        <v>8.3000000000000007</v>
      </c>
      <c r="E113" s="123">
        <v>10.3</v>
      </c>
      <c r="F113" s="124">
        <v>19.8</v>
      </c>
      <c r="I113" s="55"/>
      <c r="J113" s="56"/>
    </row>
    <row r="114" spans="2:10" x14ac:dyDescent="0.25">
      <c r="B114" s="64">
        <f t="shared" si="7"/>
        <v>45588.458333333081</v>
      </c>
      <c r="C114" s="65">
        <f t="shared" si="8"/>
        <v>4.4583333333333304</v>
      </c>
      <c r="D114" s="123">
        <v>8.9</v>
      </c>
      <c r="E114" s="123">
        <v>11.1</v>
      </c>
      <c r="F114" s="124">
        <v>20</v>
      </c>
      <c r="I114" s="55"/>
      <c r="J114" s="56"/>
    </row>
    <row r="115" spans="2:10" x14ac:dyDescent="0.25">
      <c r="B115" s="64">
        <f t="shared" si="7"/>
        <v>45588.499999999745</v>
      </c>
      <c r="C115" s="65">
        <f t="shared" si="8"/>
        <v>4.4999999999999973</v>
      </c>
      <c r="D115" s="123">
        <v>9.6</v>
      </c>
      <c r="E115" s="123">
        <v>12</v>
      </c>
      <c r="F115" s="124">
        <v>20.100000000000001</v>
      </c>
      <c r="I115" s="55"/>
      <c r="J115" s="56"/>
    </row>
    <row r="116" spans="2:10" x14ac:dyDescent="0.25">
      <c r="B116" s="64">
        <f t="shared" si="7"/>
        <v>45588.54166666641</v>
      </c>
      <c r="C116" s="65">
        <f t="shared" si="8"/>
        <v>4.5416666666666643</v>
      </c>
      <c r="D116" s="123">
        <v>10.3</v>
      </c>
      <c r="E116" s="123">
        <v>12.8</v>
      </c>
      <c r="F116" s="124">
        <v>20.2</v>
      </c>
      <c r="I116" s="55"/>
      <c r="J116" s="56"/>
    </row>
    <row r="117" spans="2:10" x14ac:dyDescent="0.25">
      <c r="B117" s="64">
        <f t="shared" si="7"/>
        <v>45588.583333333074</v>
      </c>
      <c r="C117" s="65">
        <f t="shared" si="8"/>
        <v>4.5833333333333313</v>
      </c>
      <c r="D117" s="123">
        <v>10.5</v>
      </c>
      <c r="E117" s="123">
        <v>13</v>
      </c>
      <c r="F117" s="124">
        <v>19.7</v>
      </c>
      <c r="I117" s="55"/>
      <c r="J117" s="56"/>
    </row>
    <row r="118" spans="2:10" x14ac:dyDescent="0.25">
      <c r="B118" s="64">
        <f t="shared" si="7"/>
        <v>45588.624999999738</v>
      </c>
      <c r="C118" s="65">
        <f t="shared" si="8"/>
        <v>4.6249999999999982</v>
      </c>
      <c r="D118" s="123">
        <v>10.7</v>
      </c>
      <c r="E118" s="123">
        <v>13.2</v>
      </c>
      <c r="F118" s="124">
        <v>19.2</v>
      </c>
      <c r="I118" s="55"/>
      <c r="J118" s="56"/>
    </row>
    <row r="119" spans="2:10" x14ac:dyDescent="0.25">
      <c r="B119" s="64">
        <f t="shared" si="7"/>
        <v>45588.666666666402</v>
      </c>
      <c r="C119" s="65">
        <f t="shared" si="8"/>
        <v>4.6666666666666652</v>
      </c>
      <c r="D119" s="123">
        <v>10.8</v>
      </c>
      <c r="E119" s="123">
        <v>13.4</v>
      </c>
      <c r="F119" s="124">
        <v>18.7</v>
      </c>
      <c r="I119" s="55"/>
      <c r="J119" s="56"/>
    </row>
    <row r="120" spans="2:10" x14ac:dyDescent="0.25">
      <c r="B120" s="64">
        <f t="shared" si="7"/>
        <v>45588.708333333067</v>
      </c>
      <c r="C120" s="65">
        <f t="shared" si="8"/>
        <v>4.7083333333333321</v>
      </c>
      <c r="D120" s="123">
        <v>10.7</v>
      </c>
      <c r="E120" s="123">
        <v>13.2</v>
      </c>
      <c r="F120" s="124">
        <v>18.100000000000001</v>
      </c>
      <c r="I120" s="55"/>
      <c r="J120" s="56"/>
    </row>
    <row r="121" spans="2:10" x14ac:dyDescent="0.25">
      <c r="B121" s="64">
        <f t="shared" si="7"/>
        <v>45588.749999999731</v>
      </c>
      <c r="C121" s="65">
        <f t="shared" si="8"/>
        <v>4.7499999999999991</v>
      </c>
      <c r="D121" s="123">
        <v>10.5</v>
      </c>
      <c r="E121" s="123">
        <v>13</v>
      </c>
      <c r="F121" s="124">
        <v>17.399999999999999</v>
      </c>
      <c r="I121" s="55"/>
      <c r="J121" s="56"/>
    </row>
    <row r="122" spans="2:10" x14ac:dyDescent="0.25">
      <c r="B122" s="64">
        <f t="shared" si="7"/>
        <v>45588.791666666395</v>
      </c>
      <c r="C122" s="65">
        <f t="shared" si="8"/>
        <v>4.7916666666666661</v>
      </c>
      <c r="D122" s="123">
        <v>10.3</v>
      </c>
      <c r="E122" s="123">
        <v>12.8</v>
      </c>
      <c r="F122" s="124">
        <v>16.600000000000001</v>
      </c>
      <c r="I122" s="55"/>
      <c r="J122" s="56"/>
    </row>
    <row r="123" spans="2:10" x14ac:dyDescent="0.25">
      <c r="B123" s="64">
        <f t="shared" si="7"/>
        <v>45588.833333333059</v>
      </c>
      <c r="C123" s="65">
        <f t="shared" si="8"/>
        <v>4.833333333333333</v>
      </c>
      <c r="D123" s="123">
        <v>9.5</v>
      </c>
      <c r="E123" s="123">
        <v>11.8</v>
      </c>
      <c r="F123" s="124">
        <v>16.8</v>
      </c>
      <c r="I123" s="55"/>
      <c r="J123" s="56"/>
    </row>
    <row r="124" spans="2:10" x14ac:dyDescent="0.25">
      <c r="B124" s="64">
        <f t="shared" si="7"/>
        <v>45588.874999999724</v>
      </c>
      <c r="C124" s="65">
        <f t="shared" si="8"/>
        <v>4.875</v>
      </c>
      <c r="D124" s="123">
        <v>8.6</v>
      </c>
      <c r="E124" s="123">
        <v>10.8</v>
      </c>
      <c r="F124" s="124">
        <v>16.899999999999999</v>
      </c>
      <c r="I124" s="55"/>
      <c r="J124" s="56"/>
    </row>
    <row r="125" spans="2:10" x14ac:dyDescent="0.25">
      <c r="B125" s="64">
        <f t="shared" si="7"/>
        <v>45588.916666666388</v>
      </c>
      <c r="C125" s="65">
        <f t="shared" si="8"/>
        <v>4.916666666666667</v>
      </c>
      <c r="D125" s="123">
        <v>7.8</v>
      </c>
      <c r="E125" s="123">
        <v>9.8000000000000007</v>
      </c>
      <c r="F125" s="124">
        <v>17.100000000000001</v>
      </c>
      <c r="I125" s="55"/>
      <c r="J125" s="56"/>
    </row>
    <row r="126" spans="2:10" x14ac:dyDescent="0.25">
      <c r="B126" s="64">
        <f t="shared" si="7"/>
        <v>45588.958333333052</v>
      </c>
      <c r="C126" s="65">
        <f t="shared" si="8"/>
        <v>4.9583333333333339</v>
      </c>
      <c r="D126" s="123">
        <v>6.9</v>
      </c>
      <c r="E126" s="123">
        <v>8.6999999999999993</v>
      </c>
      <c r="F126" s="124">
        <v>17.3</v>
      </c>
      <c r="I126" s="55"/>
      <c r="J126" s="56"/>
    </row>
    <row r="127" spans="2:10" x14ac:dyDescent="0.25">
      <c r="B127" s="64">
        <f t="shared" si="7"/>
        <v>45588.999999999716</v>
      </c>
      <c r="C127" s="65">
        <f t="shared" si="8"/>
        <v>5.0000000000000009</v>
      </c>
      <c r="D127" s="123">
        <v>6.1</v>
      </c>
      <c r="E127" s="123">
        <v>7.7</v>
      </c>
      <c r="F127" s="124">
        <v>17.5</v>
      </c>
      <c r="I127" s="55"/>
      <c r="J127" s="56"/>
    </row>
    <row r="128" spans="2:10" x14ac:dyDescent="0.25">
      <c r="B128" s="64">
        <f t="shared" si="7"/>
        <v>45589.04166666638</v>
      </c>
      <c r="C128" s="65">
        <f t="shared" si="8"/>
        <v>5.0416666666666679</v>
      </c>
      <c r="D128" s="123">
        <v>5.2</v>
      </c>
      <c r="E128" s="123">
        <v>6.7</v>
      </c>
      <c r="F128" s="124">
        <v>17.7</v>
      </c>
      <c r="I128" s="55"/>
      <c r="J128" s="56"/>
    </row>
    <row r="129" spans="2:10" x14ac:dyDescent="0.25">
      <c r="B129" s="64">
        <f t="shared" si="7"/>
        <v>45589.083333333045</v>
      </c>
      <c r="C129" s="65">
        <f t="shared" si="8"/>
        <v>5.0833333333333348</v>
      </c>
      <c r="D129" s="123">
        <v>5.4</v>
      </c>
      <c r="E129" s="123">
        <v>6.9</v>
      </c>
      <c r="F129" s="124">
        <v>17.5</v>
      </c>
      <c r="I129" s="55"/>
      <c r="J129" s="56"/>
    </row>
    <row r="130" spans="2:10" x14ac:dyDescent="0.25">
      <c r="B130" s="64">
        <f t="shared" si="7"/>
        <v>45589.124999999709</v>
      </c>
      <c r="C130" s="65">
        <f t="shared" si="8"/>
        <v>5.1250000000000018</v>
      </c>
      <c r="D130" s="123">
        <v>5.7</v>
      </c>
      <c r="E130" s="123">
        <v>7.2</v>
      </c>
      <c r="F130" s="124">
        <v>17.3</v>
      </c>
      <c r="I130" s="55"/>
      <c r="J130" s="56"/>
    </row>
    <row r="131" spans="2:10" x14ac:dyDescent="0.25">
      <c r="B131" s="64">
        <f t="shared" si="7"/>
        <v>45589.166666666373</v>
      </c>
      <c r="C131" s="65">
        <f t="shared" si="8"/>
        <v>5.1666666666666687</v>
      </c>
      <c r="D131" s="123">
        <v>5.9</v>
      </c>
      <c r="E131" s="123">
        <v>7.5</v>
      </c>
      <c r="F131" s="124">
        <v>17.100000000000001</v>
      </c>
      <c r="I131" s="55"/>
      <c r="J131" s="56"/>
    </row>
    <row r="132" spans="2:10" x14ac:dyDescent="0.25">
      <c r="B132" s="64">
        <f t="shared" si="7"/>
        <v>45589.208333333037</v>
      </c>
      <c r="C132" s="65">
        <f t="shared" si="8"/>
        <v>5.2083333333333357</v>
      </c>
      <c r="D132" s="123">
        <v>6.1</v>
      </c>
      <c r="E132" s="123">
        <v>7.8</v>
      </c>
      <c r="F132" s="124">
        <v>17</v>
      </c>
      <c r="I132" s="55"/>
      <c r="J132" s="56"/>
    </row>
    <row r="133" spans="2:10" x14ac:dyDescent="0.25">
      <c r="B133" s="64">
        <f t="shared" si="7"/>
        <v>45589.249999999702</v>
      </c>
      <c r="C133" s="65">
        <f t="shared" si="8"/>
        <v>5.2500000000000027</v>
      </c>
      <c r="D133" s="123">
        <v>6.3</v>
      </c>
      <c r="E133" s="123">
        <v>8</v>
      </c>
      <c r="F133" s="124">
        <v>17</v>
      </c>
      <c r="I133" s="55"/>
      <c r="J133" s="56"/>
    </row>
    <row r="134" spans="2:10" x14ac:dyDescent="0.25">
      <c r="B134" s="64">
        <f t="shared" si="7"/>
        <v>45589.291666666366</v>
      </c>
      <c r="C134" s="65">
        <f t="shared" si="8"/>
        <v>5.2916666666666696</v>
      </c>
      <c r="D134" s="123">
        <v>6.6</v>
      </c>
      <c r="E134" s="123">
        <v>8.3000000000000007</v>
      </c>
      <c r="F134" s="124">
        <v>16.899999999999999</v>
      </c>
      <c r="I134" s="55"/>
      <c r="J134" s="56"/>
    </row>
    <row r="135" spans="2:10" x14ac:dyDescent="0.25">
      <c r="B135" s="64">
        <f t="shared" si="7"/>
        <v>45589.33333333303</v>
      </c>
      <c r="C135" s="65">
        <f t="shared" si="8"/>
        <v>5.3333333333333366</v>
      </c>
      <c r="D135" s="123">
        <v>7.1</v>
      </c>
      <c r="E135" s="123">
        <v>9</v>
      </c>
      <c r="F135" s="124">
        <v>17.3</v>
      </c>
      <c r="I135" s="55"/>
      <c r="J135" s="56"/>
    </row>
    <row r="136" spans="2:10" x14ac:dyDescent="0.25">
      <c r="B136" s="64">
        <f t="shared" si="7"/>
        <v>45589.374999999694</v>
      </c>
      <c r="C136" s="65">
        <f t="shared" si="8"/>
        <v>5.3750000000000036</v>
      </c>
      <c r="D136" s="123">
        <v>7.7</v>
      </c>
      <c r="E136" s="123">
        <v>9.6999999999999993</v>
      </c>
      <c r="F136" s="124">
        <v>17.7</v>
      </c>
      <c r="I136" s="55"/>
      <c r="J136" s="56"/>
    </row>
    <row r="137" spans="2:10" x14ac:dyDescent="0.25">
      <c r="B137" s="64">
        <f t="shared" si="7"/>
        <v>45589.416666666359</v>
      </c>
      <c r="C137" s="65">
        <f t="shared" si="8"/>
        <v>5.4166666666666705</v>
      </c>
      <c r="D137" s="123">
        <v>8.3000000000000007</v>
      </c>
      <c r="E137" s="123">
        <v>10.3</v>
      </c>
      <c r="F137" s="124">
        <v>18.100000000000001</v>
      </c>
    </row>
    <row r="138" spans="2:10" x14ac:dyDescent="0.25">
      <c r="B138" s="64">
        <f t="shared" si="7"/>
        <v>45589.458333333023</v>
      </c>
      <c r="C138" s="65">
        <f t="shared" si="8"/>
        <v>5.4583333333333375</v>
      </c>
      <c r="D138" s="123">
        <v>8.8000000000000007</v>
      </c>
      <c r="E138" s="123">
        <v>11</v>
      </c>
      <c r="F138" s="124">
        <v>18.600000000000001</v>
      </c>
    </row>
    <row r="139" spans="2:10" x14ac:dyDescent="0.25">
      <c r="B139" s="64">
        <f t="shared" ref="B139:B202" si="9">B138+TIME(1,0,0)</f>
        <v>45589.499999999687</v>
      </c>
      <c r="C139" s="65">
        <f t="shared" ref="C139:C202" si="10">C138+TIME(1,0,0)</f>
        <v>5.5000000000000044</v>
      </c>
      <c r="D139" s="123">
        <v>9.4</v>
      </c>
      <c r="E139" s="123">
        <v>11.7</v>
      </c>
      <c r="F139" s="124">
        <v>19</v>
      </c>
    </row>
    <row r="140" spans="2:10" x14ac:dyDescent="0.25">
      <c r="B140" s="64">
        <f t="shared" si="9"/>
        <v>45589.541666666351</v>
      </c>
      <c r="C140" s="65">
        <f t="shared" si="10"/>
        <v>5.5416666666666714</v>
      </c>
      <c r="D140" s="123">
        <v>10</v>
      </c>
      <c r="E140" s="123">
        <v>12.4</v>
      </c>
      <c r="F140" s="124">
        <v>19.3</v>
      </c>
    </row>
    <row r="141" spans="2:10" x14ac:dyDescent="0.25">
      <c r="B141" s="64">
        <f t="shared" si="9"/>
        <v>45589.583333333016</v>
      </c>
      <c r="C141" s="65">
        <f t="shared" si="10"/>
        <v>5.5833333333333384</v>
      </c>
      <c r="D141" s="123">
        <v>10.1</v>
      </c>
      <c r="E141" s="123">
        <v>12.5</v>
      </c>
      <c r="F141" s="124">
        <v>18.899999999999999</v>
      </c>
    </row>
    <row r="142" spans="2:10" x14ac:dyDescent="0.25">
      <c r="B142" s="64">
        <f t="shared" si="9"/>
        <v>45589.62499999968</v>
      </c>
      <c r="C142" s="65">
        <f t="shared" si="10"/>
        <v>5.6250000000000053</v>
      </c>
      <c r="D142" s="123">
        <v>10.199999999999999</v>
      </c>
      <c r="E142" s="123">
        <v>12.6</v>
      </c>
      <c r="F142" s="124">
        <v>18.399999999999999</v>
      </c>
    </row>
    <row r="143" spans="2:10" x14ac:dyDescent="0.25">
      <c r="B143" s="64">
        <f t="shared" si="9"/>
        <v>45589.666666666344</v>
      </c>
      <c r="C143" s="65">
        <f t="shared" si="10"/>
        <v>5.6666666666666723</v>
      </c>
      <c r="D143" s="123">
        <v>10.3</v>
      </c>
      <c r="E143" s="123">
        <v>12.7</v>
      </c>
      <c r="F143" s="124">
        <v>17.899999999999999</v>
      </c>
    </row>
    <row r="144" spans="2:10" x14ac:dyDescent="0.25">
      <c r="B144" s="64">
        <f t="shared" si="9"/>
        <v>45589.708333333008</v>
      </c>
      <c r="C144" s="65">
        <f t="shared" si="10"/>
        <v>5.7083333333333393</v>
      </c>
      <c r="D144" s="123">
        <v>10.4</v>
      </c>
      <c r="E144" s="123">
        <v>12.8</v>
      </c>
      <c r="F144" s="124">
        <v>17.5</v>
      </c>
    </row>
    <row r="145" spans="2:6" x14ac:dyDescent="0.25">
      <c r="B145" s="64">
        <f t="shared" si="9"/>
        <v>45589.749999999673</v>
      </c>
      <c r="C145" s="65">
        <f t="shared" si="10"/>
        <v>5.7500000000000062</v>
      </c>
      <c r="D145" s="123">
        <v>10.4</v>
      </c>
      <c r="E145" s="123">
        <v>13</v>
      </c>
      <c r="F145" s="124">
        <v>17</v>
      </c>
    </row>
    <row r="146" spans="2:6" x14ac:dyDescent="0.25">
      <c r="B146" s="64">
        <f t="shared" si="9"/>
        <v>45589.791666666337</v>
      </c>
      <c r="C146" s="65">
        <f t="shared" si="10"/>
        <v>5.7916666666666732</v>
      </c>
      <c r="D146" s="123">
        <v>10.5</v>
      </c>
      <c r="E146" s="123">
        <v>13.1</v>
      </c>
      <c r="F146" s="124">
        <v>16.399999999999999</v>
      </c>
    </row>
    <row r="147" spans="2:6" x14ac:dyDescent="0.25">
      <c r="B147" s="64">
        <f t="shared" si="9"/>
        <v>45589.833333333001</v>
      </c>
      <c r="C147" s="65">
        <f t="shared" si="10"/>
        <v>5.8333333333333401</v>
      </c>
      <c r="D147" s="123">
        <v>10.1</v>
      </c>
      <c r="E147" s="123">
        <v>12.6</v>
      </c>
      <c r="F147" s="124">
        <v>16.3</v>
      </c>
    </row>
    <row r="148" spans="2:6" x14ac:dyDescent="0.25">
      <c r="B148" s="64">
        <f t="shared" si="9"/>
        <v>45589.874999999665</v>
      </c>
      <c r="C148" s="65">
        <f t="shared" si="10"/>
        <v>5.8750000000000071</v>
      </c>
      <c r="D148" s="123">
        <v>9.6999999999999993</v>
      </c>
      <c r="E148" s="123">
        <v>12.1</v>
      </c>
      <c r="F148" s="124">
        <v>16.3</v>
      </c>
    </row>
    <row r="149" spans="2:6" x14ac:dyDescent="0.25">
      <c r="B149" s="64">
        <f t="shared" si="9"/>
        <v>45589.91666666633</v>
      </c>
      <c r="C149" s="65">
        <f t="shared" si="10"/>
        <v>5.9166666666666741</v>
      </c>
      <c r="D149" s="123">
        <v>9.3000000000000007</v>
      </c>
      <c r="E149" s="123">
        <v>11.6</v>
      </c>
      <c r="F149" s="124">
        <v>16.3</v>
      </c>
    </row>
    <row r="150" spans="2:6" x14ac:dyDescent="0.25">
      <c r="B150" s="64">
        <f t="shared" si="9"/>
        <v>45589.958333332994</v>
      </c>
      <c r="C150" s="65">
        <f t="shared" si="10"/>
        <v>5.958333333333341</v>
      </c>
      <c r="D150" s="123">
        <v>8.9</v>
      </c>
      <c r="E150" s="123">
        <v>11.1</v>
      </c>
      <c r="F150" s="124">
        <v>16.3</v>
      </c>
    </row>
    <row r="151" spans="2:6" x14ac:dyDescent="0.25">
      <c r="B151" s="64">
        <f t="shared" si="9"/>
        <v>45589.999999999658</v>
      </c>
      <c r="C151" s="65">
        <f t="shared" si="10"/>
        <v>6.000000000000008</v>
      </c>
      <c r="D151" s="123">
        <v>8.4</v>
      </c>
      <c r="E151" s="123">
        <v>10.5</v>
      </c>
      <c r="F151" s="124">
        <v>16.3</v>
      </c>
    </row>
    <row r="152" spans="2:6" x14ac:dyDescent="0.25">
      <c r="B152" s="64">
        <f t="shared" si="9"/>
        <v>45590.041666666322</v>
      </c>
      <c r="C152" s="65">
        <f t="shared" si="10"/>
        <v>6.041666666666675</v>
      </c>
      <c r="D152" s="123">
        <v>8</v>
      </c>
      <c r="E152" s="123">
        <v>10</v>
      </c>
      <c r="F152" s="124">
        <v>16.3</v>
      </c>
    </row>
    <row r="153" spans="2:6" x14ac:dyDescent="0.25">
      <c r="B153" s="64">
        <f t="shared" si="9"/>
        <v>45590.083333332987</v>
      </c>
      <c r="C153" s="65">
        <f t="shared" si="10"/>
        <v>6.0833333333333419</v>
      </c>
      <c r="D153" s="123">
        <v>7.8</v>
      </c>
      <c r="E153" s="123">
        <v>9.8000000000000007</v>
      </c>
      <c r="F153" s="124">
        <v>16.100000000000001</v>
      </c>
    </row>
    <row r="154" spans="2:6" x14ac:dyDescent="0.25">
      <c r="B154" s="64">
        <f t="shared" si="9"/>
        <v>45590.124999999651</v>
      </c>
      <c r="C154" s="65">
        <f t="shared" si="10"/>
        <v>6.1250000000000089</v>
      </c>
      <c r="D154" s="123">
        <v>7.7</v>
      </c>
      <c r="E154" s="123">
        <v>9.6</v>
      </c>
      <c r="F154" s="124">
        <v>16</v>
      </c>
    </row>
    <row r="155" spans="2:6" x14ac:dyDescent="0.25">
      <c r="B155" s="64">
        <f t="shared" si="9"/>
        <v>45590.166666666315</v>
      </c>
      <c r="C155" s="65">
        <f t="shared" si="10"/>
        <v>6.1666666666666758</v>
      </c>
      <c r="D155" s="123">
        <v>7.5</v>
      </c>
      <c r="E155" s="123">
        <v>9.4</v>
      </c>
      <c r="F155" s="124">
        <v>15.9</v>
      </c>
    </row>
    <row r="156" spans="2:6" x14ac:dyDescent="0.25">
      <c r="B156" s="64">
        <f t="shared" si="9"/>
        <v>45590.208333332979</v>
      </c>
      <c r="C156" s="65">
        <f t="shared" si="10"/>
        <v>6.2083333333333428</v>
      </c>
      <c r="D156" s="123">
        <v>7.3</v>
      </c>
      <c r="E156" s="123">
        <v>9.1999999999999993</v>
      </c>
      <c r="F156" s="124">
        <v>15.9</v>
      </c>
    </row>
    <row r="157" spans="2:6" x14ac:dyDescent="0.25">
      <c r="B157" s="64">
        <f t="shared" si="9"/>
        <v>45590.249999999643</v>
      </c>
      <c r="C157" s="65">
        <f t="shared" si="10"/>
        <v>6.2500000000000098</v>
      </c>
      <c r="D157" s="123">
        <v>7.1</v>
      </c>
      <c r="E157" s="123">
        <v>9</v>
      </c>
      <c r="F157" s="124">
        <v>16</v>
      </c>
    </row>
    <row r="158" spans="2:6" x14ac:dyDescent="0.25">
      <c r="B158" s="64">
        <f t="shared" si="9"/>
        <v>45590.291666666308</v>
      </c>
      <c r="C158" s="65">
        <f t="shared" si="10"/>
        <v>6.2916666666666767</v>
      </c>
      <c r="D158" s="123">
        <v>6.9</v>
      </c>
      <c r="E158" s="123">
        <v>8.8000000000000007</v>
      </c>
      <c r="F158" s="124">
        <v>15.9</v>
      </c>
    </row>
    <row r="159" spans="2:6" x14ac:dyDescent="0.25">
      <c r="B159" s="64">
        <f t="shared" si="9"/>
        <v>45590.333333332972</v>
      </c>
      <c r="C159" s="65">
        <f t="shared" si="10"/>
        <v>6.3333333333333437</v>
      </c>
      <c r="D159" s="123">
        <v>7.2</v>
      </c>
      <c r="E159" s="123">
        <v>9.1</v>
      </c>
      <c r="F159" s="124">
        <v>16.3</v>
      </c>
    </row>
    <row r="160" spans="2:6" x14ac:dyDescent="0.25">
      <c r="B160" s="64">
        <f t="shared" si="9"/>
        <v>45590.374999999636</v>
      </c>
      <c r="C160" s="65">
        <f t="shared" si="10"/>
        <v>6.3750000000000107</v>
      </c>
      <c r="D160" s="123">
        <v>7.5</v>
      </c>
      <c r="E160" s="123">
        <v>9.4</v>
      </c>
      <c r="F160" s="124">
        <v>16.8</v>
      </c>
    </row>
    <row r="161" spans="2:6" x14ac:dyDescent="0.25">
      <c r="B161" s="64">
        <f t="shared" si="9"/>
        <v>45590.4166666663</v>
      </c>
      <c r="C161" s="65">
        <f t="shared" si="10"/>
        <v>6.4166666666666776</v>
      </c>
      <c r="D161" s="123">
        <v>7.8</v>
      </c>
      <c r="E161" s="123">
        <v>9.8000000000000007</v>
      </c>
      <c r="F161" s="124">
        <v>17.2</v>
      </c>
    </row>
    <row r="162" spans="2:6" x14ac:dyDescent="0.25">
      <c r="B162" s="64">
        <f t="shared" si="9"/>
        <v>45590.458333332965</v>
      </c>
      <c r="C162" s="65">
        <f t="shared" si="10"/>
        <v>6.4583333333333446</v>
      </c>
      <c r="D162" s="123">
        <v>8.1</v>
      </c>
      <c r="E162" s="123">
        <v>10.1</v>
      </c>
      <c r="F162" s="124">
        <v>17.7</v>
      </c>
    </row>
    <row r="163" spans="2:6" x14ac:dyDescent="0.25">
      <c r="B163" s="64">
        <f t="shared" si="9"/>
        <v>45590.499999999629</v>
      </c>
      <c r="C163" s="65">
        <f t="shared" si="10"/>
        <v>6.5000000000000115</v>
      </c>
      <c r="D163" s="123">
        <v>8.4</v>
      </c>
      <c r="E163" s="123">
        <v>10.5</v>
      </c>
      <c r="F163" s="124">
        <v>18.100000000000001</v>
      </c>
    </row>
    <row r="164" spans="2:6" x14ac:dyDescent="0.25">
      <c r="B164" s="64">
        <f t="shared" si="9"/>
        <v>45590.541666666293</v>
      </c>
      <c r="C164" s="65">
        <f t="shared" si="10"/>
        <v>6.5416666666666785</v>
      </c>
      <c r="D164" s="123">
        <v>8.6999999999999993</v>
      </c>
      <c r="E164" s="123">
        <v>10.8</v>
      </c>
      <c r="F164" s="124">
        <v>18.5</v>
      </c>
    </row>
    <row r="165" spans="2:6" x14ac:dyDescent="0.25">
      <c r="B165" s="64">
        <f t="shared" si="9"/>
        <v>45590.583333332957</v>
      </c>
      <c r="C165" s="65">
        <f t="shared" si="10"/>
        <v>6.5833333333333455</v>
      </c>
      <c r="D165" s="123">
        <v>8.8000000000000007</v>
      </c>
      <c r="E165" s="123">
        <v>11</v>
      </c>
      <c r="F165" s="124">
        <v>18.100000000000001</v>
      </c>
    </row>
    <row r="166" spans="2:6" x14ac:dyDescent="0.25">
      <c r="B166" s="64">
        <f t="shared" si="9"/>
        <v>45590.624999999622</v>
      </c>
      <c r="C166" s="65">
        <f t="shared" si="10"/>
        <v>6.6250000000000124</v>
      </c>
      <c r="D166" s="123">
        <v>8.9</v>
      </c>
      <c r="E166" s="123">
        <v>11.1</v>
      </c>
      <c r="F166" s="124">
        <v>17.8</v>
      </c>
    </row>
    <row r="167" spans="2:6" x14ac:dyDescent="0.25">
      <c r="B167" s="64">
        <f t="shared" si="9"/>
        <v>45590.666666666286</v>
      </c>
      <c r="C167" s="65">
        <f t="shared" si="10"/>
        <v>6.6666666666666794</v>
      </c>
      <c r="D167" s="123">
        <v>9.1</v>
      </c>
      <c r="E167" s="123">
        <v>11.3</v>
      </c>
      <c r="F167" s="124">
        <v>17.399999999999999</v>
      </c>
    </row>
    <row r="168" spans="2:6" x14ac:dyDescent="0.25">
      <c r="B168" s="64">
        <f t="shared" si="9"/>
        <v>45590.70833333295</v>
      </c>
      <c r="C168" s="65">
        <f t="shared" si="10"/>
        <v>6.7083333333333464</v>
      </c>
      <c r="D168" s="123">
        <v>9.1999999999999993</v>
      </c>
      <c r="E168" s="123">
        <v>11.5</v>
      </c>
      <c r="F168" s="124">
        <v>17</v>
      </c>
    </row>
    <row r="169" spans="2:6" x14ac:dyDescent="0.25">
      <c r="B169" s="64">
        <f t="shared" si="9"/>
        <v>45590.749999999614</v>
      </c>
      <c r="C169" s="65">
        <f t="shared" si="10"/>
        <v>6.7500000000000133</v>
      </c>
      <c r="D169" s="123">
        <v>9.4</v>
      </c>
      <c r="E169" s="123">
        <v>11.7</v>
      </c>
      <c r="F169" s="124">
        <v>16.7</v>
      </c>
    </row>
    <row r="170" spans="2:6" x14ac:dyDescent="0.25">
      <c r="B170" s="64">
        <f t="shared" si="9"/>
        <v>45590.791666666279</v>
      </c>
      <c r="C170" s="65">
        <f t="shared" si="10"/>
        <v>6.7916666666666803</v>
      </c>
      <c r="D170" s="123">
        <v>9.5</v>
      </c>
      <c r="E170" s="123">
        <v>11.9</v>
      </c>
      <c r="F170" s="124">
        <v>16.100000000000001</v>
      </c>
    </row>
    <row r="171" spans="2:6" x14ac:dyDescent="0.25">
      <c r="B171" s="64">
        <f t="shared" si="9"/>
        <v>45590.833333332943</v>
      </c>
      <c r="C171" s="65">
        <f t="shared" si="10"/>
        <v>6.8333333333333472</v>
      </c>
      <c r="D171" s="123">
        <v>9.1</v>
      </c>
      <c r="E171" s="123">
        <v>11.4</v>
      </c>
      <c r="F171" s="124">
        <v>16</v>
      </c>
    </row>
    <row r="172" spans="2:6" x14ac:dyDescent="0.25">
      <c r="B172" s="64">
        <f t="shared" si="9"/>
        <v>45590.874999999607</v>
      </c>
      <c r="C172" s="65">
        <f t="shared" si="10"/>
        <v>6.8750000000000142</v>
      </c>
      <c r="D172" s="123">
        <v>8.6999999999999993</v>
      </c>
      <c r="E172" s="123">
        <v>10.9</v>
      </c>
      <c r="F172" s="124">
        <v>15.9</v>
      </c>
    </row>
    <row r="173" spans="2:6" x14ac:dyDescent="0.25">
      <c r="B173" s="64">
        <f t="shared" si="9"/>
        <v>45590.916666666271</v>
      </c>
      <c r="C173" s="65">
        <f t="shared" si="10"/>
        <v>6.9166666666666812</v>
      </c>
      <c r="D173" s="123">
        <v>8.3000000000000007</v>
      </c>
      <c r="E173" s="123">
        <v>10.4</v>
      </c>
      <c r="F173" s="124">
        <v>15.8</v>
      </c>
    </row>
    <row r="174" spans="2:6" x14ac:dyDescent="0.25">
      <c r="B174" s="64">
        <f t="shared" si="9"/>
        <v>45590.958333332936</v>
      </c>
      <c r="C174" s="65">
        <f t="shared" si="10"/>
        <v>6.9583333333333481</v>
      </c>
      <c r="D174" s="123">
        <v>7.9</v>
      </c>
      <c r="E174" s="123">
        <v>9.9</v>
      </c>
      <c r="F174" s="124">
        <v>15.7</v>
      </c>
    </row>
    <row r="175" spans="2:6" x14ac:dyDescent="0.25">
      <c r="B175" s="64">
        <f t="shared" si="9"/>
        <v>45590.9999999996</v>
      </c>
      <c r="C175" s="65">
        <f t="shared" si="10"/>
        <v>7.0000000000000151</v>
      </c>
      <c r="D175" s="123">
        <v>7.5</v>
      </c>
      <c r="E175" s="123">
        <v>9.4</v>
      </c>
      <c r="F175" s="124">
        <v>15.7</v>
      </c>
    </row>
    <row r="176" spans="2:6" x14ac:dyDescent="0.25">
      <c r="B176" s="64">
        <f t="shared" si="9"/>
        <v>45591.041666666264</v>
      </c>
      <c r="C176" s="65">
        <f t="shared" si="10"/>
        <v>7.0416666666666821</v>
      </c>
      <c r="D176" s="123">
        <v>7.1</v>
      </c>
      <c r="E176" s="123">
        <v>8.9</v>
      </c>
      <c r="F176" s="124">
        <v>15.6</v>
      </c>
    </row>
    <row r="177" spans="2:6" x14ac:dyDescent="0.25">
      <c r="B177" s="64">
        <f t="shared" si="9"/>
        <v>45591.083333332928</v>
      </c>
      <c r="C177" s="65">
        <f t="shared" si="10"/>
        <v>7.083333333333349</v>
      </c>
      <c r="D177" s="123">
        <v>7.1</v>
      </c>
      <c r="E177" s="123">
        <v>9</v>
      </c>
      <c r="F177" s="124">
        <v>15.5</v>
      </c>
    </row>
    <row r="178" spans="2:6" x14ac:dyDescent="0.25">
      <c r="B178" s="64">
        <f t="shared" si="9"/>
        <v>45591.124999999593</v>
      </c>
      <c r="C178" s="65">
        <f t="shared" si="10"/>
        <v>7.125000000000016</v>
      </c>
      <c r="D178" s="123">
        <v>7.2</v>
      </c>
      <c r="E178" s="123">
        <v>9.1</v>
      </c>
      <c r="F178" s="124">
        <v>15.5</v>
      </c>
    </row>
    <row r="179" spans="2:6" x14ac:dyDescent="0.25">
      <c r="B179" s="64">
        <f t="shared" si="9"/>
        <v>45591.166666666257</v>
      </c>
      <c r="C179" s="65">
        <f t="shared" si="10"/>
        <v>7.1666666666666829</v>
      </c>
      <c r="D179" s="123">
        <v>7.3</v>
      </c>
      <c r="E179" s="123">
        <v>9.1999999999999993</v>
      </c>
      <c r="F179" s="124">
        <v>15.4</v>
      </c>
    </row>
    <row r="180" spans="2:6" x14ac:dyDescent="0.25">
      <c r="B180" s="64">
        <f t="shared" si="9"/>
        <v>45591.208333332921</v>
      </c>
      <c r="C180" s="65">
        <f t="shared" si="10"/>
        <v>7.2083333333333499</v>
      </c>
      <c r="D180" s="123">
        <v>7.4</v>
      </c>
      <c r="E180" s="123">
        <v>9.3000000000000007</v>
      </c>
      <c r="F180" s="124">
        <v>15.4</v>
      </c>
    </row>
    <row r="181" spans="2:6" x14ac:dyDescent="0.25">
      <c r="B181" s="64">
        <f t="shared" si="9"/>
        <v>45591.249999999585</v>
      </c>
      <c r="C181" s="65">
        <f t="shared" si="10"/>
        <v>7.2500000000000169</v>
      </c>
      <c r="D181" s="123">
        <v>7.5</v>
      </c>
      <c r="E181" s="123">
        <v>9.4</v>
      </c>
      <c r="F181" s="124">
        <v>15.6</v>
      </c>
    </row>
    <row r="182" spans="2:6" x14ac:dyDescent="0.25">
      <c r="B182" s="64">
        <f t="shared" si="9"/>
        <v>45591.29166666625</v>
      </c>
      <c r="C182" s="65">
        <f t="shared" si="10"/>
        <v>7.2916666666666838</v>
      </c>
      <c r="D182" s="123">
        <v>7.6</v>
      </c>
      <c r="E182" s="123">
        <v>9.5</v>
      </c>
      <c r="F182" s="124">
        <v>15.6</v>
      </c>
    </row>
    <row r="183" spans="2:6" x14ac:dyDescent="0.25">
      <c r="B183" s="64">
        <f t="shared" si="9"/>
        <v>45591.333333332914</v>
      </c>
      <c r="C183" s="65">
        <f t="shared" si="10"/>
        <v>7.3333333333333508</v>
      </c>
      <c r="D183" s="123">
        <v>7.9</v>
      </c>
      <c r="E183" s="123">
        <v>9.8000000000000007</v>
      </c>
      <c r="F183" s="124">
        <v>16.2</v>
      </c>
    </row>
    <row r="184" spans="2:6" x14ac:dyDescent="0.25">
      <c r="B184" s="64">
        <f t="shared" si="9"/>
        <v>45591.374999999578</v>
      </c>
      <c r="C184" s="65">
        <f t="shared" si="10"/>
        <v>7.3750000000000178</v>
      </c>
      <c r="D184" s="123">
        <v>8.1</v>
      </c>
      <c r="E184" s="123">
        <v>10.199999999999999</v>
      </c>
      <c r="F184" s="124">
        <v>16.8</v>
      </c>
    </row>
    <row r="185" spans="2:6" x14ac:dyDescent="0.25">
      <c r="B185" s="64">
        <f t="shared" si="9"/>
        <v>45591.416666666242</v>
      </c>
      <c r="C185" s="65">
        <f t="shared" si="10"/>
        <v>7.4166666666666847</v>
      </c>
      <c r="D185" s="123">
        <v>8.4</v>
      </c>
      <c r="E185" s="123">
        <v>10.5</v>
      </c>
      <c r="F185" s="124">
        <v>17.399999999999999</v>
      </c>
    </row>
    <row r="186" spans="2:6" x14ac:dyDescent="0.25">
      <c r="B186" s="64">
        <f t="shared" si="9"/>
        <v>45591.458333332906</v>
      </c>
      <c r="C186" s="65">
        <f t="shared" si="10"/>
        <v>7.4583333333333517</v>
      </c>
      <c r="D186" s="123">
        <v>8.6999999999999993</v>
      </c>
      <c r="E186" s="123">
        <v>10.8</v>
      </c>
      <c r="F186" s="124">
        <v>18</v>
      </c>
    </row>
    <row r="187" spans="2:6" x14ac:dyDescent="0.25">
      <c r="B187" s="64">
        <f t="shared" si="9"/>
        <v>45591.499999999571</v>
      </c>
      <c r="C187" s="65">
        <f t="shared" si="10"/>
        <v>7.5000000000000187</v>
      </c>
      <c r="D187" s="123">
        <v>8.9</v>
      </c>
      <c r="E187" s="123">
        <v>11.1</v>
      </c>
      <c r="F187" s="124">
        <v>18.600000000000001</v>
      </c>
    </row>
    <row r="188" spans="2:6" x14ac:dyDescent="0.25">
      <c r="B188" s="64">
        <f t="shared" si="9"/>
        <v>45591.541666666235</v>
      </c>
      <c r="C188" s="65">
        <f t="shared" si="10"/>
        <v>7.5416666666666856</v>
      </c>
      <c r="D188" s="123">
        <v>9.1999999999999993</v>
      </c>
      <c r="E188" s="123">
        <v>11.4</v>
      </c>
      <c r="F188" s="124">
        <v>19.100000000000001</v>
      </c>
    </row>
    <row r="189" spans="2:6" x14ac:dyDescent="0.25">
      <c r="B189" s="64">
        <f t="shared" si="9"/>
        <v>45591.583333332899</v>
      </c>
      <c r="C189" s="65">
        <f t="shared" si="10"/>
        <v>7.5833333333333526</v>
      </c>
      <c r="D189" s="123">
        <v>9.1999999999999993</v>
      </c>
      <c r="E189" s="123">
        <v>11.5</v>
      </c>
      <c r="F189" s="124">
        <v>18.600000000000001</v>
      </c>
    </row>
    <row r="190" spans="2:6" x14ac:dyDescent="0.25">
      <c r="B190" s="64">
        <f t="shared" si="9"/>
        <v>45591.624999999563</v>
      </c>
      <c r="C190" s="65">
        <f t="shared" si="10"/>
        <v>7.6250000000000195</v>
      </c>
      <c r="D190" s="123">
        <v>9.3000000000000007</v>
      </c>
      <c r="E190" s="123">
        <v>11.6</v>
      </c>
      <c r="F190" s="124">
        <v>18.2</v>
      </c>
    </row>
    <row r="191" spans="2:6" x14ac:dyDescent="0.25">
      <c r="B191" s="64">
        <f t="shared" si="9"/>
        <v>45591.666666666228</v>
      </c>
      <c r="C191" s="65">
        <f t="shared" si="10"/>
        <v>7.6666666666666865</v>
      </c>
      <c r="D191" s="123">
        <v>9.3000000000000007</v>
      </c>
      <c r="E191" s="123">
        <v>11.6</v>
      </c>
      <c r="F191" s="124">
        <v>17.7</v>
      </c>
    </row>
    <row r="192" spans="2:6" x14ac:dyDescent="0.25">
      <c r="B192" s="64">
        <f t="shared" si="9"/>
        <v>45591.708333332892</v>
      </c>
      <c r="C192" s="65">
        <f t="shared" si="10"/>
        <v>7.7083333333333535</v>
      </c>
      <c r="D192" s="123">
        <v>9.4</v>
      </c>
      <c r="E192" s="123">
        <v>11.7</v>
      </c>
      <c r="F192" s="124">
        <v>17.3</v>
      </c>
    </row>
    <row r="193" spans="2:6" x14ac:dyDescent="0.25">
      <c r="B193" s="64">
        <f t="shared" si="9"/>
        <v>45591.749999999556</v>
      </c>
      <c r="C193" s="65">
        <f t="shared" si="10"/>
        <v>7.7500000000000204</v>
      </c>
      <c r="D193" s="123">
        <v>9.4</v>
      </c>
      <c r="E193" s="123">
        <v>11.7</v>
      </c>
      <c r="F193" s="124">
        <v>16.8</v>
      </c>
    </row>
    <row r="194" spans="2:6" x14ac:dyDescent="0.25">
      <c r="B194" s="64">
        <f t="shared" si="9"/>
        <v>45591.79166666622</v>
      </c>
      <c r="C194" s="65">
        <f t="shared" si="10"/>
        <v>7.7916666666666874</v>
      </c>
      <c r="D194" s="123">
        <v>9.5</v>
      </c>
      <c r="E194" s="123">
        <v>11.8</v>
      </c>
      <c r="F194" s="124">
        <v>16.100000000000001</v>
      </c>
    </row>
    <row r="195" spans="2:6" x14ac:dyDescent="0.25">
      <c r="B195" s="64">
        <f t="shared" si="9"/>
        <v>45591.833333332885</v>
      </c>
      <c r="C195" s="65">
        <f t="shared" si="10"/>
        <v>7.8333333333333544</v>
      </c>
      <c r="D195" s="123">
        <v>8.6999999999999993</v>
      </c>
      <c r="E195" s="123">
        <v>10.8</v>
      </c>
      <c r="F195" s="124">
        <v>16.100000000000001</v>
      </c>
    </row>
    <row r="196" spans="2:6" x14ac:dyDescent="0.25">
      <c r="B196" s="64">
        <f t="shared" si="9"/>
        <v>45591.874999999549</v>
      </c>
      <c r="C196" s="65">
        <f t="shared" si="10"/>
        <v>7.8750000000000213</v>
      </c>
      <c r="D196" s="123">
        <v>7.9</v>
      </c>
      <c r="E196" s="123">
        <v>9.9</v>
      </c>
      <c r="F196" s="124">
        <v>16.100000000000001</v>
      </c>
    </row>
    <row r="197" spans="2:6" x14ac:dyDescent="0.25">
      <c r="B197" s="64">
        <f t="shared" si="9"/>
        <v>45591.916666666213</v>
      </c>
      <c r="C197" s="65">
        <f t="shared" si="10"/>
        <v>7.9166666666666883</v>
      </c>
      <c r="D197" s="123">
        <v>7.1</v>
      </c>
      <c r="E197" s="123">
        <v>8.9</v>
      </c>
      <c r="F197" s="124">
        <v>16.100000000000001</v>
      </c>
    </row>
    <row r="198" spans="2:6" x14ac:dyDescent="0.25">
      <c r="B198" s="64">
        <f t="shared" si="9"/>
        <v>45591.958333332877</v>
      </c>
      <c r="C198" s="65">
        <f t="shared" si="10"/>
        <v>7.9583333333333552</v>
      </c>
      <c r="D198" s="123">
        <v>6.3</v>
      </c>
      <c r="E198" s="123">
        <v>8</v>
      </c>
      <c r="F198" s="124">
        <v>16.2</v>
      </c>
    </row>
    <row r="199" spans="2:6" x14ac:dyDescent="0.25">
      <c r="B199" s="64">
        <f t="shared" si="9"/>
        <v>45591.999999999542</v>
      </c>
      <c r="C199" s="65">
        <f t="shared" si="10"/>
        <v>8.0000000000000213</v>
      </c>
      <c r="D199" s="123">
        <v>5.5</v>
      </c>
      <c r="E199" s="123">
        <v>7</v>
      </c>
      <c r="F199" s="124">
        <v>16.2</v>
      </c>
    </row>
    <row r="200" spans="2:6" x14ac:dyDescent="0.25">
      <c r="B200" s="64">
        <f t="shared" si="9"/>
        <v>45592.041666666206</v>
      </c>
      <c r="C200" s="65">
        <f t="shared" si="10"/>
        <v>8.0416666666666874</v>
      </c>
      <c r="D200" s="123">
        <v>4.7</v>
      </c>
      <c r="E200" s="123">
        <v>6.1</v>
      </c>
      <c r="F200" s="124">
        <v>16.2</v>
      </c>
    </row>
    <row r="201" spans="2:6" x14ac:dyDescent="0.25">
      <c r="B201" s="64">
        <f t="shared" si="9"/>
        <v>45592.08333333287</v>
      </c>
      <c r="C201" s="65">
        <f t="shared" si="10"/>
        <v>8.0833333333333535</v>
      </c>
      <c r="D201" s="123">
        <v>4.5</v>
      </c>
      <c r="E201" s="123">
        <v>5.8</v>
      </c>
      <c r="F201" s="124">
        <v>16.2</v>
      </c>
    </row>
    <row r="202" spans="2:6" x14ac:dyDescent="0.25">
      <c r="B202" s="64">
        <f t="shared" si="9"/>
        <v>45592.124999999534</v>
      </c>
      <c r="C202" s="65">
        <f t="shared" si="10"/>
        <v>8.1250000000000195</v>
      </c>
      <c r="D202" s="123">
        <v>4.2</v>
      </c>
      <c r="E202" s="123">
        <v>5.5</v>
      </c>
      <c r="F202" s="124">
        <v>16.2</v>
      </c>
    </row>
    <row r="203" spans="2:6" x14ac:dyDescent="0.25">
      <c r="B203" s="64">
        <f t="shared" ref="B203:B234" si="11">B202+TIME(1,0,0)</f>
        <v>45592.166666666199</v>
      </c>
      <c r="C203" s="65">
        <f t="shared" ref="C203:C234" si="12">C202+TIME(1,0,0)</f>
        <v>8.1666666666666856</v>
      </c>
      <c r="D203" s="123">
        <v>4</v>
      </c>
      <c r="E203" s="123">
        <v>5.2</v>
      </c>
      <c r="F203" s="124">
        <v>16.2</v>
      </c>
    </row>
    <row r="204" spans="2:6" x14ac:dyDescent="0.25">
      <c r="B204" s="64">
        <f t="shared" si="11"/>
        <v>45592.208333332863</v>
      </c>
      <c r="C204" s="65">
        <f t="shared" si="12"/>
        <v>8.2083333333333517</v>
      </c>
      <c r="D204" s="123">
        <v>3.7</v>
      </c>
      <c r="E204" s="123">
        <v>4.9000000000000004</v>
      </c>
      <c r="F204" s="124">
        <v>16.3</v>
      </c>
    </row>
    <row r="205" spans="2:6" x14ac:dyDescent="0.25">
      <c r="B205" s="64">
        <f t="shared" si="11"/>
        <v>45592.249999999527</v>
      </c>
      <c r="C205" s="65">
        <f t="shared" si="12"/>
        <v>8.2500000000000178</v>
      </c>
      <c r="D205" s="123">
        <v>3.5</v>
      </c>
      <c r="E205" s="123">
        <v>4.5999999999999996</v>
      </c>
      <c r="F205" s="124">
        <v>16.600000000000001</v>
      </c>
    </row>
    <row r="206" spans="2:6" x14ac:dyDescent="0.25">
      <c r="B206" s="64">
        <f t="shared" si="11"/>
        <v>45592.291666666191</v>
      </c>
      <c r="C206" s="65">
        <f t="shared" si="12"/>
        <v>8.2916666666666838</v>
      </c>
      <c r="D206" s="123">
        <v>3.2</v>
      </c>
      <c r="E206" s="123">
        <v>4.3</v>
      </c>
      <c r="F206" s="124">
        <v>16.7</v>
      </c>
    </row>
    <row r="207" spans="2:6" x14ac:dyDescent="0.25">
      <c r="B207" s="64">
        <f t="shared" si="11"/>
        <v>45592.333333332856</v>
      </c>
      <c r="C207" s="65">
        <f t="shared" si="12"/>
        <v>8.3333333333333499</v>
      </c>
      <c r="D207" s="123">
        <v>4</v>
      </c>
      <c r="E207" s="123">
        <v>5.2</v>
      </c>
      <c r="F207" s="124">
        <v>17.100000000000001</v>
      </c>
    </row>
    <row r="208" spans="2:6" x14ac:dyDescent="0.25">
      <c r="B208" s="64">
        <f t="shared" si="11"/>
        <v>45592.37499999952</v>
      </c>
      <c r="C208" s="65">
        <f t="shared" si="12"/>
        <v>8.375000000000016</v>
      </c>
      <c r="D208" s="123">
        <v>4.8</v>
      </c>
      <c r="E208" s="123">
        <v>6.2</v>
      </c>
      <c r="F208" s="124">
        <v>17.600000000000001</v>
      </c>
    </row>
    <row r="209" spans="2:6" x14ac:dyDescent="0.25">
      <c r="B209" s="64">
        <f t="shared" si="11"/>
        <v>45592.416666666184</v>
      </c>
      <c r="C209" s="65">
        <f t="shared" si="12"/>
        <v>8.4166666666666821</v>
      </c>
      <c r="D209" s="123">
        <v>5.6</v>
      </c>
      <c r="E209" s="123">
        <v>7.2</v>
      </c>
      <c r="F209" s="124">
        <v>18.100000000000001</v>
      </c>
    </row>
    <row r="210" spans="2:6" x14ac:dyDescent="0.25">
      <c r="B210" s="64">
        <f t="shared" si="11"/>
        <v>45592.458333332848</v>
      </c>
      <c r="C210" s="65">
        <f t="shared" si="12"/>
        <v>8.4583333333333481</v>
      </c>
      <c r="D210" s="123">
        <v>6.4</v>
      </c>
      <c r="E210" s="123">
        <v>8.1</v>
      </c>
      <c r="F210" s="124">
        <v>18.600000000000001</v>
      </c>
    </row>
    <row r="211" spans="2:6" x14ac:dyDescent="0.25">
      <c r="B211" s="64">
        <f t="shared" si="11"/>
        <v>45592.499999999513</v>
      </c>
      <c r="C211" s="65">
        <f t="shared" si="12"/>
        <v>8.5000000000000142</v>
      </c>
      <c r="D211" s="123">
        <v>7.2</v>
      </c>
      <c r="E211" s="123">
        <v>9.1</v>
      </c>
      <c r="F211" s="124">
        <v>19</v>
      </c>
    </row>
    <row r="212" spans="2:6" x14ac:dyDescent="0.25">
      <c r="B212" s="64">
        <f t="shared" si="11"/>
        <v>45592.541666666177</v>
      </c>
      <c r="C212" s="65">
        <f t="shared" si="12"/>
        <v>8.5416666666666803</v>
      </c>
      <c r="D212" s="123">
        <v>8</v>
      </c>
      <c r="E212" s="123">
        <v>10.1</v>
      </c>
      <c r="F212" s="124">
        <v>19.399999999999999</v>
      </c>
    </row>
    <row r="213" spans="2:6" x14ac:dyDescent="0.25">
      <c r="B213" s="64">
        <f t="shared" si="11"/>
        <v>45592.583333332841</v>
      </c>
      <c r="C213" s="65">
        <f t="shared" si="12"/>
        <v>8.5833333333333464</v>
      </c>
      <c r="D213" s="123">
        <v>8.1</v>
      </c>
      <c r="E213" s="123">
        <v>10.199999999999999</v>
      </c>
      <c r="F213" s="124">
        <v>18.899999999999999</v>
      </c>
    </row>
    <row r="214" spans="2:6" x14ac:dyDescent="0.25">
      <c r="B214" s="64">
        <f t="shared" si="11"/>
        <v>45592.624999999505</v>
      </c>
      <c r="C214" s="65">
        <f t="shared" si="12"/>
        <v>8.6250000000000124</v>
      </c>
      <c r="D214" s="123">
        <v>8.1999999999999993</v>
      </c>
      <c r="E214" s="123">
        <v>10.3</v>
      </c>
      <c r="F214" s="124">
        <v>18.399999999999999</v>
      </c>
    </row>
    <row r="215" spans="2:6" x14ac:dyDescent="0.25">
      <c r="B215" s="64">
        <f t="shared" si="11"/>
        <v>45592.666666666169</v>
      </c>
      <c r="C215" s="65">
        <f t="shared" si="12"/>
        <v>8.6666666666666785</v>
      </c>
      <c r="D215" s="123">
        <v>8.3000000000000007</v>
      </c>
      <c r="E215" s="123">
        <v>10.4</v>
      </c>
      <c r="F215" s="124">
        <v>18</v>
      </c>
    </row>
    <row r="216" spans="2:6" x14ac:dyDescent="0.25">
      <c r="B216" s="64">
        <f t="shared" si="11"/>
        <v>45592.708333332834</v>
      </c>
      <c r="C216" s="65">
        <f t="shared" si="12"/>
        <v>8.7083333333333446</v>
      </c>
      <c r="D216" s="123">
        <v>8.4</v>
      </c>
      <c r="E216" s="123">
        <v>10.5</v>
      </c>
      <c r="F216" s="124">
        <v>17.5</v>
      </c>
    </row>
    <row r="217" spans="2:6" x14ac:dyDescent="0.25">
      <c r="B217" s="64">
        <f t="shared" si="11"/>
        <v>45592.749999999498</v>
      </c>
      <c r="C217" s="65">
        <f t="shared" si="12"/>
        <v>8.7500000000000107</v>
      </c>
      <c r="D217" s="123">
        <v>8.5</v>
      </c>
      <c r="E217" s="123">
        <v>10.6</v>
      </c>
      <c r="F217" s="124">
        <v>17</v>
      </c>
    </row>
    <row r="218" spans="2:6" x14ac:dyDescent="0.25">
      <c r="B218" s="64">
        <f t="shared" si="11"/>
        <v>45592.791666666162</v>
      </c>
      <c r="C218" s="65">
        <f t="shared" si="12"/>
        <v>8.7916666666666767</v>
      </c>
      <c r="D218" s="123">
        <v>8.5</v>
      </c>
      <c r="E218" s="123">
        <v>10.7</v>
      </c>
      <c r="F218" s="124">
        <v>16.3</v>
      </c>
    </row>
    <row r="219" spans="2:6" x14ac:dyDescent="0.25">
      <c r="B219" s="64">
        <f t="shared" si="11"/>
        <v>45592.833333332826</v>
      </c>
      <c r="C219" s="65">
        <f t="shared" si="12"/>
        <v>8.8333333333333428</v>
      </c>
      <c r="D219" s="123"/>
      <c r="E219" s="123"/>
      <c r="F219" s="124"/>
    </row>
    <row r="220" spans="2:6" x14ac:dyDescent="0.25">
      <c r="B220" s="64">
        <f t="shared" si="11"/>
        <v>45592.874999999491</v>
      </c>
      <c r="C220" s="65">
        <f t="shared" si="12"/>
        <v>8.8750000000000089</v>
      </c>
      <c r="D220" s="123"/>
      <c r="E220" s="123"/>
      <c r="F220" s="124"/>
    </row>
    <row r="221" spans="2:6" x14ac:dyDescent="0.25">
      <c r="B221" s="64">
        <f t="shared" si="11"/>
        <v>45592.916666666155</v>
      </c>
      <c r="C221" s="65">
        <f t="shared" si="12"/>
        <v>8.916666666666675</v>
      </c>
      <c r="D221" s="123"/>
      <c r="E221" s="123"/>
      <c r="F221" s="124"/>
    </row>
    <row r="222" spans="2:6" x14ac:dyDescent="0.25">
      <c r="B222" s="64">
        <f t="shared" si="11"/>
        <v>45592.958333332819</v>
      </c>
      <c r="C222" s="65">
        <f t="shared" si="12"/>
        <v>8.958333333333341</v>
      </c>
      <c r="D222" s="123"/>
      <c r="E222" s="123"/>
      <c r="F222" s="124"/>
    </row>
    <row r="223" spans="2:6" x14ac:dyDescent="0.25">
      <c r="B223" s="64">
        <f t="shared" si="11"/>
        <v>45592.999999999483</v>
      </c>
      <c r="C223" s="65">
        <f t="shared" si="12"/>
        <v>9.0000000000000071</v>
      </c>
      <c r="D223" s="123"/>
      <c r="E223" s="123"/>
      <c r="F223" s="124"/>
    </row>
    <row r="224" spans="2:6" x14ac:dyDescent="0.25">
      <c r="B224" s="64">
        <f t="shared" si="11"/>
        <v>45593.041666666148</v>
      </c>
      <c r="C224" s="65">
        <f t="shared" si="12"/>
        <v>9.0416666666666732</v>
      </c>
      <c r="D224" s="123"/>
      <c r="E224" s="123"/>
      <c r="F224" s="124"/>
    </row>
    <row r="225" spans="2:6" x14ac:dyDescent="0.25">
      <c r="B225" s="64">
        <f t="shared" si="11"/>
        <v>45593.083333332812</v>
      </c>
      <c r="C225" s="65">
        <f t="shared" si="12"/>
        <v>9.0833333333333393</v>
      </c>
      <c r="D225" s="123"/>
      <c r="E225" s="123"/>
      <c r="F225" s="124"/>
    </row>
    <row r="226" spans="2:6" x14ac:dyDescent="0.25">
      <c r="B226" s="64">
        <f t="shared" si="11"/>
        <v>45593.124999999476</v>
      </c>
      <c r="C226" s="65">
        <f t="shared" si="12"/>
        <v>9.1250000000000053</v>
      </c>
      <c r="D226" s="123"/>
      <c r="E226" s="123"/>
      <c r="F226" s="124"/>
    </row>
    <row r="227" spans="2:6" x14ac:dyDescent="0.25">
      <c r="B227" s="64">
        <f t="shared" si="11"/>
        <v>45593.16666666614</v>
      </c>
      <c r="C227" s="65">
        <f t="shared" si="12"/>
        <v>9.1666666666666714</v>
      </c>
      <c r="D227" s="123"/>
      <c r="E227" s="123"/>
      <c r="F227" s="124"/>
    </row>
    <row r="228" spans="2:6" x14ac:dyDescent="0.25">
      <c r="B228" s="64">
        <f t="shared" si="11"/>
        <v>45593.208333332805</v>
      </c>
      <c r="C228" s="65">
        <f t="shared" si="12"/>
        <v>9.2083333333333375</v>
      </c>
      <c r="D228" s="123"/>
      <c r="E228" s="123"/>
      <c r="F228" s="124"/>
    </row>
    <row r="229" spans="2:6" x14ac:dyDescent="0.25">
      <c r="B229" s="64">
        <f t="shared" si="11"/>
        <v>45593.249999999469</v>
      </c>
      <c r="C229" s="65">
        <f t="shared" si="12"/>
        <v>9.2500000000000036</v>
      </c>
      <c r="D229" s="123"/>
      <c r="E229" s="123"/>
      <c r="F229" s="124"/>
    </row>
    <row r="230" spans="2:6" x14ac:dyDescent="0.25">
      <c r="B230" s="64">
        <f t="shared" si="11"/>
        <v>45593.291666666133</v>
      </c>
      <c r="C230" s="65">
        <f t="shared" si="12"/>
        <v>9.2916666666666696</v>
      </c>
      <c r="D230" s="123"/>
      <c r="E230" s="123"/>
      <c r="F230" s="124"/>
    </row>
    <row r="231" spans="2:6" x14ac:dyDescent="0.25">
      <c r="B231" s="64">
        <f t="shared" si="11"/>
        <v>45593.333333332797</v>
      </c>
      <c r="C231" s="65">
        <f t="shared" si="12"/>
        <v>9.3333333333333357</v>
      </c>
      <c r="D231" s="123"/>
      <c r="E231" s="123"/>
      <c r="F231" s="124"/>
    </row>
    <row r="232" spans="2:6" x14ac:dyDescent="0.25">
      <c r="B232" s="64">
        <f t="shared" si="11"/>
        <v>45593.374999999462</v>
      </c>
      <c r="C232" s="65">
        <f t="shared" si="12"/>
        <v>9.3750000000000018</v>
      </c>
      <c r="D232" s="123"/>
      <c r="E232" s="123"/>
      <c r="F232" s="124"/>
    </row>
    <row r="233" spans="2:6" x14ac:dyDescent="0.25">
      <c r="B233" s="64">
        <f t="shared" si="11"/>
        <v>45593.416666666126</v>
      </c>
      <c r="C233" s="65">
        <f t="shared" si="12"/>
        <v>9.4166666666666679</v>
      </c>
      <c r="D233" s="123"/>
      <c r="E233" s="123"/>
      <c r="F233" s="124"/>
    </row>
    <row r="234" spans="2:6" x14ac:dyDescent="0.25">
      <c r="B234" s="64">
        <f t="shared" si="11"/>
        <v>45593.45833333279</v>
      </c>
      <c r="C234" s="65">
        <f t="shared" si="12"/>
        <v>9.4583333333333339</v>
      </c>
      <c r="D234" s="123"/>
      <c r="E234" s="123"/>
      <c r="F234" s="124"/>
    </row>
    <row r="235" spans="2:6" x14ac:dyDescent="0.25">
      <c r="B235" s="64">
        <f t="shared" ref="B235:B245" si="13">B234+TIME(1,0,0)</f>
        <v>45593.499999999454</v>
      </c>
      <c r="C235" s="65">
        <f t="shared" ref="C235:C245" si="14">C234+TIME(1,0,0)</f>
        <v>9.5</v>
      </c>
      <c r="D235" s="123"/>
      <c r="E235" s="123"/>
      <c r="F235" s="124"/>
    </row>
    <row r="236" spans="2:6" x14ac:dyDescent="0.25">
      <c r="B236" s="64">
        <f t="shared" si="13"/>
        <v>45593.541666666119</v>
      </c>
      <c r="C236" s="65">
        <f t="shared" si="14"/>
        <v>9.5416666666666661</v>
      </c>
      <c r="D236" s="123"/>
      <c r="E236" s="123"/>
      <c r="F236" s="124"/>
    </row>
    <row r="237" spans="2:6" x14ac:dyDescent="0.25">
      <c r="B237" s="64">
        <f t="shared" si="13"/>
        <v>45593.583333332783</v>
      </c>
      <c r="C237" s="65">
        <f t="shared" si="14"/>
        <v>9.5833333333333321</v>
      </c>
      <c r="D237" s="123"/>
      <c r="E237" s="123"/>
      <c r="F237" s="124"/>
    </row>
    <row r="238" spans="2:6" x14ac:dyDescent="0.25">
      <c r="B238" s="64">
        <f t="shared" si="13"/>
        <v>45593.624999999447</v>
      </c>
      <c r="C238" s="65">
        <f t="shared" si="14"/>
        <v>9.6249999999999982</v>
      </c>
      <c r="D238" s="123"/>
      <c r="E238" s="123"/>
      <c r="F238" s="124"/>
    </row>
    <row r="239" spans="2:6" x14ac:dyDescent="0.25">
      <c r="B239" s="64">
        <f t="shared" si="13"/>
        <v>45593.666666666111</v>
      </c>
      <c r="C239" s="65">
        <f t="shared" si="14"/>
        <v>9.6666666666666643</v>
      </c>
      <c r="D239" s="123"/>
      <c r="E239" s="123"/>
      <c r="F239" s="124"/>
    </row>
    <row r="240" spans="2:6" x14ac:dyDescent="0.25">
      <c r="B240" s="64">
        <f t="shared" si="13"/>
        <v>45593.708333332776</v>
      </c>
      <c r="C240" s="65">
        <f t="shared" si="14"/>
        <v>9.7083333333333304</v>
      </c>
      <c r="D240" s="123"/>
      <c r="E240" s="123"/>
      <c r="F240" s="124"/>
    </row>
    <row r="241" spans="2:6" x14ac:dyDescent="0.25">
      <c r="B241" s="64">
        <f t="shared" si="13"/>
        <v>45593.74999999944</v>
      </c>
      <c r="C241" s="65">
        <f t="shared" si="14"/>
        <v>9.7499999999999964</v>
      </c>
      <c r="D241" s="123"/>
      <c r="E241" s="123"/>
      <c r="F241" s="124"/>
    </row>
    <row r="242" spans="2:6" x14ac:dyDescent="0.25">
      <c r="B242" s="64">
        <f t="shared" si="13"/>
        <v>45593.791666666104</v>
      </c>
      <c r="C242" s="65">
        <f t="shared" si="14"/>
        <v>9.7916666666666625</v>
      </c>
      <c r="D242" s="123"/>
      <c r="E242" s="123"/>
      <c r="F242" s="124"/>
    </row>
    <row r="243" spans="2:6" x14ac:dyDescent="0.25">
      <c r="B243" s="64">
        <f t="shared" si="13"/>
        <v>45593.833333332768</v>
      </c>
      <c r="C243" s="65">
        <f t="shared" si="14"/>
        <v>9.8333333333333286</v>
      </c>
      <c r="D243" s="123"/>
      <c r="E243" s="123"/>
      <c r="F243" s="124"/>
    </row>
    <row r="244" spans="2:6" x14ac:dyDescent="0.25">
      <c r="B244" s="64">
        <f t="shared" si="13"/>
        <v>45593.874999999432</v>
      </c>
      <c r="C244" s="65">
        <f t="shared" si="14"/>
        <v>9.8749999999999947</v>
      </c>
      <c r="D244" s="123"/>
      <c r="E244" s="123"/>
      <c r="F244" s="124"/>
    </row>
    <row r="245" spans="2:6" ht="15.75" thickBot="1" x14ac:dyDescent="0.3">
      <c r="B245" s="66">
        <f t="shared" si="13"/>
        <v>45593.916666666097</v>
      </c>
      <c r="C245" s="67">
        <f t="shared" si="14"/>
        <v>9.9166666666666607</v>
      </c>
      <c r="D245" s="125"/>
      <c r="E245" s="125"/>
      <c r="F245" s="126"/>
    </row>
    <row r="246" spans="2:6" ht="3.6" customHeight="1" x14ac:dyDescent="0.25">
      <c r="D246" t="s">
        <v>210</v>
      </c>
      <c r="E246" t="s">
        <v>210</v>
      </c>
      <c r="F246" t="s">
        <v>210</v>
      </c>
    </row>
  </sheetData>
  <mergeCells count="5">
    <mergeCell ref="E4:F4"/>
    <mergeCell ref="E3:F3"/>
    <mergeCell ref="J2:L2"/>
    <mergeCell ref="I7:J7"/>
    <mergeCell ref="C7:E7"/>
  </mergeCells>
  <hyperlinks>
    <hyperlink ref="C7" r:id="rId1" display="https://www.darwin4res.com/Forecaster/Wind" xr:uid="{414A5FA5-C1BE-4E68-AEE5-AAB0655CD0B8}"/>
  </hyperlinks>
  <pageMargins left="0.7" right="0.7" top="0.75" bottom="0.75" header="0.3" footer="0.3"/>
  <pageSetup orientation="portrait" horizontalDpi="360" verticalDpi="360" r:id="rId2"/>
  <customProperties>
    <customPr name="_pios_id" r:id="rId3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02007-4054-4DE8-918C-46F10C984450}">
  <sheetPr codeName="Sheet5">
    <tabColor theme="8"/>
  </sheetPr>
  <dimension ref="A1:HY76"/>
  <sheetViews>
    <sheetView showGridLines="0" zoomScaleNormal="100" zoomScaleSheetLayoutView="85" workbookViewId="0">
      <pane xSplit="6" ySplit="18" topLeftCell="G19" activePane="bottomRight" state="frozen"/>
      <selection activeCell="A16" sqref="A16"/>
      <selection pane="topRight" activeCell="G16" sqref="G16"/>
      <selection pane="bottomLeft" activeCell="A19" sqref="A19"/>
      <selection pane="bottomRight" activeCell="B59" sqref="B59"/>
    </sheetView>
  </sheetViews>
  <sheetFormatPr defaultColWidth="0" defaultRowHeight="12" x14ac:dyDescent="0.2"/>
  <cols>
    <col min="1" max="1" width="2" style="27" customWidth="1"/>
    <col min="2" max="2" width="12" style="18" customWidth="1"/>
    <col min="3" max="3" width="5.42578125" style="18" customWidth="1"/>
    <col min="4" max="4" width="6.7109375" style="18" bestFit="1" customWidth="1"/>
    <col min="5" max="5" width="11.28515625" style="18" bestFit="1" customWidth="1"/>
    <col min="6" max="6" width="15.7109375" style="18" bestFit="1" customWidth="1"/>
    <col min="7" max="7" width="4.42578125" style="18" bestFit="1" customWidth="1"/>
    <col min="8" max="8" width="4.28515625" style="18" customWidth="1"/>
    <col min="9" max="52" width="4.28515625" style="18" bestFit="1" customWidth="1"/>
    <col min="53" max="232" width="4.28515625" style="18" hidden="1" customWidth="1"/>
    <col min="233" max="233" width="1.85546875" style="18" customWidth="1"/>
    <col min="234" max="16384" width="8.85546875" style="18" hidden="1"/>
  </cols>
  <sheetData>
    <row r="1" spans="1:232" ht="76.150000000000006" hidden="1" customHeight="1" x14ac:dyDescent="0.2">
      <c r="G1" s="35">
        <f>'Plantilla Datos'!E3+1+'Plantilla Datos'!E4</f>
        <v>45584.083333333336</v>
      </c>
      <c r="H1" s="35">
        <f>G1+TIME(1,0,0)</f>
        <v>45584.125</v>
      </c>
      <c r="I1" s="35">
        <f t="shared" ref="I1:BT1" si="0">H1+TIME(1,0,0)</f>
        <v>45584.166666666664</v>
      </c>
      <c r="J1" s="35">
        <f t="shared" si="0"/>
        <v>45584.208333333328</v>
      </c>
      <c r="K1" s="35">
        <f t="shared" si="0"/>
        <v>45584.249999999993</v>
      </c>
      <c r="L1" s="35">
        <f t="shared" si="0"/>
        <v>45584.291666666657</v>
      </c>
      <c r="M1" s="35">
        <f t="shared" si="0"/>
        <v>45584.333333333321</v>
      </c>
      <c r="N1" s="35">
        <f t="shared" si="0"/>
        <v>45584.374999999985</v>
      </c>
      <c r="O1" s="35">
        <f t="shared" si="0"/>
        <v>45584.41666666665</v>
      </c>
      <c r="P1" s="35">
        <f t="shared" si="0"/>
        <v>45584.458333333314</v>
      </c>
      <c r="Q1" s="35">
        <f t="shared" si="0"/>
        <v>45584.499999999978</v>
      </c>
      <c r="R1" s="35">
        <f t="shared" si="0"/>
        <v>45584.541666666642</v>
      </c>
      <c r="S1" s="35">
        <f t="shared" si="0"/>
        <v>45584.583333333307</v>
      </c>
      <c r="T1" s="35">
        <f t="shared" si="0"/>
        <v>45584.624999999971</v>
      </c>
      <c r="U1" s="35">
        <f t="shared" si="0"/>
        <v>45584.666666666635</v>
      </c>
      <c r="V1" s="35">
        <f t="shared" si="0"/>
        <v>45584.708333333299</v>
      </c>
      <c r="W1" s="35">
        <f t="shared" si="0"/>
        <v>45584.749999999964</v>
      </c>
      <c r="X1" s="35">
        <f t="shared" si="0"/>
        <v>45584.791666666628</v>
      </c>
      <c r="Y1" s="35">
        <f t="shared" si="0"/>
        <v>45584.833333333292</v>
      </c>
      <c r="Z1" s="35">
        <f t="shared" si="0"/>
        <v>45584.874999999956</v>
      </c>
      <c r="AA1" s="35">
        <f t="shared" si="0"/>
        <v>45584.916666666621</v>
      </c>
      <c r="AB1" s="35">
        <f t="shared" si="0"/>
        <v>45584.958333333285</v>
      </c>
      <c r="AC1" s="35">
        <f t="shared" si="0"/>
        <v>45584.999999999949</v>
      </c>
      <c r="AD1" s="35">
        <f t="shared" si="0"/>
        <v>45585.041666666613</v>
      </c>
      <c r="AE1" s="35">
        <f t="shared" si="0"/>
        <v>45585.083333333278</v>
      </c>
      <c r="AF1" s="35">
        <f t="shared" si="0"/>
        <v>45585.124999999942</v>
      </c>
      <c r="AG1" s="35">
        <f t="shared" si="0"/>
        <v>45585.166666666606</v>
      </c>
      <c r="AH1" s="35">
        <f t="shared" si="0"/>
        <v>45585.20833333327</v>
      </c>
      <c r="AI1" s="35">
        <f t="shared" si="0"/>
        <v>45585.249999999935</v>
      </c>
      <c r="AJ1" s="35">
        <f t="shared" si="0"/>
        <v>45585.291666666599</v>
      </c>
      <c r="AK1" s="35">
        <f t="shared" si="0"/>
        <v>45585.333333333263</v>
      </c>
      <c r="AL1" s="35">
        <f t="shared" si="0"/>
        <v>45585.374999999927</v>
      </c>
      <c r="AM1" s="35">
        <f t="shared" si="0"/>
        <v>45585.416666666591</v>
      </c>
      <c r="AN1" s="35">
        <f t="shared" si="0"/>
        <v>45585.458333333256</v>
      </c>
      <c r="AO1" s="35">
        <f t="shared" si="0"/>
        <v>45585.49999999992</v>
      </c>
      <c r="AP1" s="35">
        <f t="shared" si="0"/>
        <v>45585.541666666584</v>
      </c>
      <c r="AQ1" s="35">
        <f t="shared" si="0"/>
        <v>45585.583333333248</v>
      </c>
      <c r="AR1" s="35">
        <f t="shared" si="0"/>
        <v>45585.624999999913</v>
      </c>
      <c r="AS1" s="35">
        <f t="shared" si="0"/>
        <v>45585.666666666577</v>
      </c>
      <c r="AT1" s="35">
        <f t="shared" si="0"/>
        <v>45585.708333333241</v>
      </c>
      <c r="AU1" s="35">
        <f t="shared" si="0"/>
        <v>45585.749999999905</v>
      </c>
      <c r="AV1" s="35">
        <f t="shared" si="0"/>
        <v>45585.79166666657</v>
      </c>
      <c r="AW1" s="35">
        <f t="shared" si="0"/>
        <v>45585.833333333234</v>
      </c>
      <c r="AX1" s="35">
        <f t="shared" si="0"/>
        <v>45585.874999999898</v>
      </c>
      <c r="AY1" s="35">
        <f t="shared" si="0"/>
        <v>45585.916666666562</v>
      </c>
      <c r="AZ1" s="35">
        <f t="shared" si="0"/>
        <v>45585.958333333227</v>
      </c>
      <c r="BA1" s="35">
        <f t="shared" si="0"/>
        <v>45585.999999999891</v>
      </c>
      <c r="BB1" s="35">
        <f t="shared" si="0"/>
        <v>45586.041666666555</v>
      </c>
      <c r="BC1" s="35">
        <f t="shared" si="0"/>
        <v>45586.083333333219</v>
      </c>
      <c r="BD1" s="35">
        <f t="shared" si="0"/>
        <v>45586.124999999884</v>
      </c>
      <c r="BE1" s="35">
        <f t="shared" si="0"/>
        <v>45586.166666666548</v>
      </c>
      <c r="BF1" s="35">
        <f t="shared" si="0"/>
        <v>45586.208333333212</v>
      </c>
      <c r="BG1" s="35">
        <f t="shared" si="0"/>
        <v>45586.249999999876</v>
      </c>
      <c r="BH1" s="35">
        <f t="shared" si="0"/>
        <v>45586.291666666541</v>
      </c>
      <c r="BI1" s="35">
        <f t="shared" si="0"/>
        <v>45586.333333333205</v>
      </c>
      <c r="BJ1" s="35">
        <f t="shared" si="0"/>
        <v>45586.374999999869</v>
      </c>
      <c r="BK1" s="35">
        <f t="shared" si="0"/>
        <v>45586.416666666533</v>
      </c>
      <c r="BL1" s="35">
        <f t="shared" si="0"/>
        <v>45586.458333333198</v>
      </c>
      <c r="BM1" s="35">
        <f t="shared" si="0"/>
        <v>45586.499999999862</v>
      </c>
      <c r="BN1" s="35">
        <f t="shared" si="0"/>
        <v>45586.541666666526</v>
      </c>
      <c r="BO1" s="35">
        <f t="shared" si="0"/>
        <v>45586.58333333319</v>
      </c>
      <c r="BP1" s="35">
        <f t="shared" si="0"/>
        <v>45586.624999999854</v>
      </c>
      <c r="BQ1" s="35">
        <f t="shared" si="0"/>
        <v>45586.666666666519</v>
      </c>
      <c r="BR1" s="35">
        <f t="shared" si="0"/>
        <v>45586.708333333183</v>
      </c>
      <c r="BS1" s="35">
        <f t="shared" si="0"/>
        <v>45586.749999999847</v>
      </c>
      <c r="BT1" s="35">
        <f t="shared" si="0"/>
        <v>45586.791666666511</v>
      </c>
      <c r="BU1" s="35">
        <f t="shared" ref="BU1:EF1" si="1">BT1+TIME(1,0,0)</f>
        <v>45586.833333333176</v>
      </c>
      <c r="BV1" s="35">
        <f t="shared" si="1"/>
        <v>45586.87499999984</v>
      </c>
      <c r="BW1" s="35">
        <f t="shared" si="1"/>
        <v>45586.916666666504</v>
      </c>
      <c r="BX1" s="35">
        <f t="shared" si="1"/>
        <v>45586.958333333168</v>
      </c>
      <c r="BY1" s="35">
        <f t="shared" si="1"/>
        <v>45586.999999999833</v>
      </c>
      <c r="BZ1" s="35">
        <f t="shared" si="1"/>
        <v>45587.041666666497</v>
      </c>
      <c r="CA1" s="35">
        <f t="shared" si="1"/>
        <v>45587.083333333161</v>
      </c>
      <c r="CB1" s="35">
        <f t="shared" si="1"/>
        <v>45587.124999999825</v>
      </c>
      <c r="CC1" s="35">
        <f t="shared" si="1"/>
        <v>45587.16666666649</v>
      </c>
      <c r="CD1" s="35">
        <f t="shared" si="1"/>
        <v>45587.208333333154</v>
      </c>
      <c r="CE1" s="35">
        <f t="shared" si="1"/>
        <v>45587.249999999818</v>
      </c>
      <c r="CF1" s="35">
        <f t="shared" si="1"/>
        <v>45587.291666666482</v>
      </c>
      <c r="CG1" s="35">
        <f t="shared" si="1"/>
        <v>45587.333333333147</v>
      </c>
      <c r="CH1" s="35">
        <f t="shared" si="1"/>
        <v>45587.374999999811</v>
      </c>
      <c r="CI1" s="35">
        <f t="shared" si="1"/>
        <v>45587.416666666475</v>
      </c>
      <c r="CJ1" s="35">
        <f t="shared" si="1"/>
        <v>45587.458333333139</v>
      </c>
      <c r="CK1" s="35">
        <f t="shared" si="1"/>
        <v>45587.499999999804</v>
      </c>
      <c r="CL1" s="35">
        <f t="shared" si="1"/>
        <v>45587.541666666468</v>
      </c>
      <c r="CM1" s="35">
        <f t="shared" si="1"/>
        <v>45587.583333333132</v>
      </c>
      <c r="CN1" s="35">
        <f t="shared" si="1"/>
        <v>45587.624999999796</v>
      </c>
      <c r="CO1" s="35">
        <f t="shared" si="1"/>
        <v>45587.666666666461</v>
      </c>
      <c r="CP1" s="35">
        <f t="shared" si="1"/>
        <v>45587.708333333125</v>
      </c>
      <c r="CQ1" s="35">
        <f t="shared" si="1"/>
        <v>45587.749999999789</v>
      </c>
      <c r="CR1" s="35">
        <f t="shared" si="1"/>
        <v>45587.791666666453</v>
      </c>
      <c r="CS1" s="35">
        <f t="shared" si="1"/>
        <v>45587.833333333117</v>
      </c>
      <c r="CT1" s="35">
        <f t="shared" si="1"/>
        <v>45587.874999999782</v>
      </c>
      <c r="CU1" s="35">
        <f t="shared" si="1"/>
        <v>45587.916666666446</v>
      </c>
      <c r="CV1" s="35">
        <f t="shared" si="1"/>
        <v>45587.95833333311</v>
      </c>
      <c r="CW1" s="35">
        <f t="shared" si="1"/>
        <v>45587.999999999774</v>
      </c>
      <c r="CX1" s="35">
        <f t="shared" si="1"/>
        <v>45588.041666666439</v>
      </c>
      <c r="CY1" s="35">
        <f t="shared" si="1"/>
        <v>45588.083333333103</v>
      </c>
      <c r="CZ1" s="35">
        <f t="shared" si="1"/>
        <v>45588.124999999767</v>
      </c>
      <c r="DA1" s="35">
        <f t="shared" si="1"/>
        <v>45588.166666666431</v>
      </c>
      <c r="DB1" s="35">
        <f t="shared" si="1"/>
        <v>45588.208333333096</v>
      </c>
      <c r="DC1" s="35">
        <f t="shared" si="1"/>
        <v>45588.24999999976</v>
      </c>
      <c r="DD1" s="35">
        <f t="shared" si="1"/>
        <v>45588.291666666424</v>
      </c>
      <c r="DE1" s="35">
        <f t="shared" si="1"/>
        <v>45588.333333333088</v>
      </c>
      <c r="DF1" s="35">
        <f t="shared" si="1"/>
        <v>45588.374999999753</v>
      </c>
      <c r="DG1" s="35">
        <f t="shared" si="1"/>
        <v>45588.416666666417</v>
      </c>
      <c r="DH1" s="35">
        <f t="shared" si="1"/>
        <v>45588.458333333081</v>
      </c>
      <c r="DI1" s="35">
        <f t="shared" si="1"/>
        <v>45588.499999999745</v>
      </c>
      <c r="DJ1" s="35">
        <f t="shared" si="1"/>
        <v>45588.54166666641</v>
      </c>
      <c r="DK1" s="35">
        <f t="shared" si="1"/>
        <v>45588.583333333074</v>
      </c>
      <c r="DL1" s="35">
        <f t="shared" si="1"/>
        <v>45588.624999999738</v>
      </c>
      <c r="DM1" s="35">
        <f t="shared" si="1"/>
        <v>45588.666666666402</v>
      </c>
      <c r="DN1" s="35">
        <f t="shared" si="1"/>
        <v>45588.708333333067</v>
      </c>
      <c r="DO1" s="35">
        <f t="shared" si="1"/>
        <v>45588.749999999731</v>
      </c>
      <c r="DP1" s="35">
        <f t="shared" si="1"/>
        <v>45588.791666666395</v>
      </c>
      <c r="DQ1" s="35">
        <f t="shared" si="1"/>
        <v>45588.833333333059</v>
      </c>
      <c r="DR1" s="35">
        <f t="shared" si="1"/>
        <v>45588.874999999724</v>
      </c>
      <c r="DS1" s="35">
        <f t="shared" si="1"/>
        <v>45588.916666666388</v>
      </c>
      <c r="DT1" s="35">
        <f t="shared" si="1"/>
        <v>45588.958333333052</v>
      </c>
      <c r="DU1" s="35">
        <f t="shared" si="1"/>
        <v>45588.999999999716</v>
      </c>
      <c r="DV1" s="35">
        <f t="shared" si="1"/>
        <v>45589.04166666638</v>
      </c>
      <c r="DW1" s="35">
        <f t="shared" si="1"/>
        <v>45589.083333333045</v>
      </c>
      <c r="DX1" s="35">
        <f t="shared" si="1"/>
        <v>45589.124999999709</v>
      </c>
      <c r="DY1" s="35">
        <f t="shared" si="1"/>
        <v>45589.166666666373</v>
      </c>
      <c r="DZ1" s="35">
        <f t="shared" si="1"/>
        <v>45589.208333333037</v>
      </c>
      <c r="EA1" s="35">
        <f t="shared" si="1"/>
        <v>45589.249999999702</v>
      </c>
      <c r="EB1" s="35">
        <f t="shared" si="1"/>
        <v>45589.291666666366</v>
      </c>
      <c r="EC1" s="35">
        <f t="shared" si="1"/>
        <v>45589.33333333303</v>
      </c>
      <c r="ED1" s="35">
        <f t="shared" si="1"/>
        <v>45589.374999999694</v>
      </c>
      <c r="EE1" s="35">
        <f t="shared" si="1"/>
        <v>45589.416666666359</v>
      </c>
      <c r="EF1" s="35">
        <f t="shared" si="1"/>
        <v>45589.458333333023</v>
      </c>
      <c r="EG1" s="35">
        <f t="shared" ref="EG1:GR1" si="2">EF1+TIME(1,0,0)</f>
        <v>45589.499999999687</v>
      </c>
      <c r="EH1" s="35">
        <f t="shared" si="2"/>
        <v>45589.541666666351</v>
      </c>
      <c r="EI1" s="35">
        <f t="shared" si="2"/>
        <v>45589.583333333016</v>
      </c>
      <c r="EJ1" s="35">
        <f t="shared" si="2"/>
        <v>45589.62499999968</v>
      </c>
      <c r="EK1" s="35">
        <f t="shared" si="2"/>
        <v>45589.666666666344</v>
      </c>
      <c r="EL1" s="35">
        <f t="shared" si="2"/>
        <v>45589.708333333008</v>
      </c>
      <c r="EM1" s="35">
        <f t="shared" si="2"/>
        <v>45589.749999999673</v>
      </c>
      <c r="EN1" s="35">
        <f t="shared" si="2"/>
        <v>45589.791666666337</v>
      </c>
      <c r="EO1" s="35">
        <f t="shared" si="2"/>
        <v>45589.833333333001</v>
      </c>
      <c r="EP1" s="35">
        <f t="shared" si="2"/>
        <v>45589.874999999665</v>
      </c>
      <c r="EQ1" s="35">
        <f t="shared" si="2"/>
        <v>45589.91666666633</v>
      </c>
      <c r="ER1" s="35">
        <f t="shared" si="2"/>
        <v>45589.958333332994</v>
      </c>
      <c r="ES1" s="35">
        <f t="shared" si="2"/>
        <v>45589.999999999658</v>
      </c>
      <c r="ET1" s="35">
        <f t="shared" si="2"/>
        <v>45590.041666666322</v>
      </c>
      <c r="EU1" s="35">
        <f t="shared" si="2"/>
        <v>45590.083333332987</v>
      </c>
      <c r="EV1" s="35">
        <f t="shared" si="2"/>
        <v>45590.124999999651</v>
      </c>
      <c r="EW1" s="35">
        <f t="shared" si="2"/>
        <v>45590.166666666315</v>
      </c>
      <c r="EX1" s="35">
        <f t="shared" si="2"/>
        <v>45590.208333332979</v>
      </c>
      <c r="EY1" s="35">
        <f t="shared" si="2"/>
        <v>45590.249999999643</v>
      </c>
      <c r="EZ1" s="35">
        <f t="shared" si="2"/>
        <v>45590.291666666308</v>
      </c>
      <c r="FA1" s="35">
        <f t="shared" si="2"/>
        <v>45590.333333332972</v>
      </c>
      <c r="FB1" s="35">
        <f t="shared" si="2"/>
        <v>45590.374999999636</v>
      </c>
      <c r="FC1" s="35">
        <f t="shared" si="2"/>
        <v>45590.4166666663</v>
      </c>
      <c r="FD1" s="35">
        <f t="shared" si="2"/>
        <v>45590.458333332965</v>
      </c>
      <c r="FE1" s="35">
        <f t="shared" si="2"/>
        <v>45590.499999999629</v>
      </c>
      <c r="FF1" s="35">
        <f t="shared" si="2"/>
        <v>45590.541666666293</v>
      </c>
      <c r="FG1" s="35">
        <f t="shared" si="2"/>
        <v>45590.583333332957</v>
      </c>
      <c r="FH1" s="35">
        <f t="shared" si="2"/>
        <v>45590.624999999622</v>
      </c>
      <c r="FI1" s="35">
        <f t="shared" si="2"/>
        <v>45590.666666666286</v>
      </c>
      <c r="FJ1" s="35">
        <f t="shared" si="2"/>
        <v>45590.70833333295</v>
      </c>
      <c r="FK1" s="35">
        <f t="shared" si="2"/>
        <v>45590.749999999614</v>
      </c>
      <c r="FL1" s="35">
        <f t="shared" si="2"/>
        <v>45590.791666666279</v>
      </c>
      <c r="FM1" s="35">
        <f t="shared" si="2"/>
        <v>45590.833333332943</v>
      </c>
      <c r="FN1" s="35">
        <f t="shared" si="2"/>
        <v>45590.874999999607</v>
      </c>
      <c r="FO1" s="35">
        <f t="shared" si="2"/>
        <v>45590.916666666271</v>
      </c>
      <c r="FP1" s="35">
        <f t="shared" si="2"/>
        <v>45590.958333332936</v>
      </c>
      <c r="FQ1" s="35">
        <f t="shared" si="2"/>
        <v>45590.9999999996</v>
      </c>
      <c r="FR1" s="35">
        <f t="shared" si="2"/>
        <v>45591.041666666264</v>
      </c>
      <c r="FS1" s="35">
        <f t="shared" si="2"/>
        <v>45591.083333332928</v>
      </c>
      <c r="FT1" s="35">
        <f t="shared" si="2"/>
        <v>45591.124999999593</v>
      </c>
      <c r="FU1" s="35">
        <f t="shared" si="2"/>
        <v>45591.166666666257</v>
      </c>
      <c r="FV1" s="35">
        <f t="shared" si="2"/>
        <v>45591.208333332921</v>
      </c>
      <c r="FW1" s="35">
        <f t="shared" si="2"/>
        <v>45591.249999999585</v>
      </c>
      <c r="FX1" s="35">
        <f t="shared" si="2"/>
        <v>45591.29166666625</v>
      </c>
      <c r="FY1" s="35">
        <f t="shared" si="2"/>
        <v>45591.333333332914</v>
      </c>
      <c r="FZ1" s="35">
        <f t="shared" si="2"/>
        <v>45591.374999999578</v>
      </c>
      <c r="GA1" s="35">
        <f t="shared" si="2"/>
        <v>45591.416666666242</v>
      </c>
      <c r="GB1" s="35">
        <f t="shared" si="2"/>
        <v>45591.458333332906</v>
      </c>
      <c r="GC1" s="35">
        <f t="shared" si="2"/>
        <v>45591.499999999571</v>
      </c>
      <c r="GD1" s="35">
        <f t="shared" si="2"/>
        <v>45591.541666666235</v>
      </c>
      <c r="GE1" s="35">
        <f t="shared" si="2"/>
        <v>45591.583333332899</v>
      </c>
      <c r="GF1" s="35">
        <f t="shared" si="2"/>
        <v>45591.624999999563</v>
      </c>
      <c r="GG1" s="35">
        <f t="shared" si="2"/>
        <v>45591.666666666228</v>
      </c>
      <c r="GH1" s="35">
        <f t="shared" si="2"/>
        <v>45591.708333332892</v>
      </c>
      <c r="GI1" s="35">
        <f t="shared" si="2"/>
        <v>45591.749999999556</v>
      </c>
      <c r="GJ1" s="35">
        <f t="shared" si="2"/>
        <v>45591.79166666622</v>
      </c>
      <c r="GK1" s="35">
        <f t="shared" si="2"/>
        <v>45591.833333332885</v>
      </c>
      <c r="GL1" s="35">
        <f t="shared" si="2"/>
        <v>45591.874999999549</v>
      </c>
      <c r="GM1" s="35">
        <f t="shared" si="2"/>
        <v>45591.916666666213</v>
      </c>
      <c r="GN1" s="35">
        <f t="shared" si="2"/>
        <v>45591.958333332877</v>
      </c>
      <c r="GO1" s="35">
        <f t="shared" si="2"/>
        <v>45591.999999999542</v>
      </c>
      <c r="GP1" s="35">
        <f t="shared" si="2"/>
        <v>45592.041666666206</v>
      </c>
      <c r="GQ1" s="35">
        <f t="shared" si="2"/>
        <v>45592.08333333287</v>
      </c>
      <c r="GR1" s="35">
        <f t="shared" si="2"/>
        <v>45592.124999999534</v>
      </c>
      <c r="GS1" s="35">
        <f t="shared" ref="GS1:HX1" si="3">GR1+TIME(1,0,0)</f>
        <v>45592.166666666199</v>
      </c>
      <c r="GT1" s="35">
        <f t="shared" si="3"/>
        <v>45592.208333332863</v>
      </c>
      <c r="GU1" s="35">
        <f t="shared" si="3"/>
        <v>45592.249999999527</v>
      </c>
      <c r="GV1" s="35">
        <f t="shared" si="3"/>
        <v>45592.291666666191</v>
      </c>
      <c r="GW1" s="35">
        <f t="shared" si="3"/>
        <v>45592.333333332856</v>
      </c>
      <c r="GX1" s="35">
        <f t="shared" si="3"/>
        <v>45592.37499999952</v>
      </c>
      <c r="GY1" s="35">
        <f t="shared" si="3"/>
        <v>45592.416666666184</v>
      </c>
      <c r="GZ1" s="35">
        <f t="shared" si="3"/>
        <v>45592.458333332848</v>
      </c>
      <c r="HA1" s="35">
        <f t="shared" si="3"/>
        <v>45592.499999999513</v>
      </c>
      <c r="HB1" s="35">
        <f t="shared" si="3"/>
        <v>45592.541666666177</v>
      </c>
      <c r="HC1" s="35">
        <f t="shared" si="3"/>
        <v>45592.583333332841</v>
      </c>
      <c r="HD1" s="35">
        <f t="shared" si="3"/>
        <v>45592.624999999505</v>
      </c>
      <c r="HE1" s="35">
        <f t="shared" si="3"/>
        <v>45592.666666666169</v>
      </c>
      <c r="HF1" s="35">
        <f t="shared" si="3"/>
        <v>45592.708333332834</v>
      </c>
      <c r="HG1" s="35">
        <f t="shared" si="3"/>
        <v>45592.749999999498</v>
      </c>
      <c r="HH1" s="35">
        <f t="shared" si="3"/>
        <v>45592.791666666162</v>
      </c>
      <c r="HI1" s="35">
        <f t="shared" si="3"/>
        <v>45592.833333332826</v>
      </c>
      <c r="HJ1" s="35">
        <f t="shared" si="3"/>
        <v>45592.874999999491</v>
      </c>
      <c r="HK1" s="35">
        <f t="shared" si="3"/>
        <v>45592.916666666155</v>
      </c>
      <c r="HL1" s="35">
        <f t="shared" si="3"/>
        <v>45592.958333332819</v>
      </c>
      <c r="HM1" s="35">
        <f t="shared" si="3"/>
        <v>45592.999999999483</v>
      </c>
      <c r="HN1" s="35">
        <f t="shared" si="3"/>
        <v>45593.041666666148</v>
      </c>
      <c r="HO1" s="35">
        <f t="shared" si="3"/>
        <v>45593.083333332812</v>
      </c>
      <c r="HP1" s="35">
        <f t="shared" si="3"/>
        <v>45593.124999999476</v>
      </c>
      <c r="HQ1" s="35">
        <f t="shared" si="3"/>
        <v>45593.16666666614</v>
      </c>
      <c r="HR1" s="35">
        <f t="shared" si="3"/>
        <v>45593.208333332805</v>
      </c>
      <c r="HS1" s="35">
        <f t="shared" si="3"/>
        <v>45593.249999999469</v>
      </c>
      <c r="HT1" s="35">
        <f t="shared" si="3"/>
        <v>45593.291666666133</v>
      </c>
      <c r="HU1" s="35">
        <f t="shared" si="3"/>
        <v>45593.333333332797</v>
      </c>
      <c r="HV1" s="35">
        <f t="shared" si="3"/>
        <v>45593.374999999462</v>
      </c>
      <c r="HW1" s="35">
        <f t="shared" si="3"/>
        <v>45593.416666666126</v>
      </c>
      <c r="HX1" s="35">
        <f t="shared" si="3"/>
        <v>45593.45833333279</v>
      </c>
    </row>
    <row r="2" spans="1:232" hidden="1" x14ac:dyDescent="0.2">
      <c r="E2" s="18" t="s">
        <v>127</v>
      </c>
      <c r="F2" s="18" t="s">
        <v>133</v>
      </c>
      <c r="G2" s="18">
        <f>COUNTIFS(G$19:G$75,"=1",$C$19:$C$75,"A",$D$19:$D$75,"5.2",$E$19:$E$75,"Lomitas",$F$19:$F$75,"Cerro")</f>
        <v>6</v>
      </c>
      <c r="H2" s="18">
        <f t="shared" ref="H2:AL2" si="4">COUNTIFS(H$19:H$75,"=1",$C$19:$C$75,"A",$D$19:$D$75,"5.2",$E$19:$E$75,"Lomitas",$F$19:$F$75,"Cerro")</f>
        <v>6</v>
      </c>
      <c r="I2" s="18">
        <f t="shared" si="4"/>
        <v>6</v>
      </c>
      <c r="J2" s="18">
        <f t="shared" si="4"/>
        <v>6</v>
      </c>
      <c r="K2" s="18">
        <f t="shared" si="4"/>
        <v>6</v>
      </c>
      <c r="L2" s="18">
        <f t="shared" si="4"/>
        <v>6</v>
      </c>
      <c r="M2" s="18">
        <f t="shared" si="4"/>
        <v>6</v>
      </c>
      <c r="N2" s="18">
        <f t="shared" si="4"/>
        <v>6</v>
      </c>
      <c r="O2" s="18">
        <f t="shared" si="4"/>
        <v>6</v>
      </c>
      <c r="P2" s="18">
        <f t="shared" si="4"/>
        <v>6</v>
      </c>
      <c r="Q2" s="18">
        <f t="shared" si="4"/>
        <v>6</v>
      </c>
      <c r="R2" s="18">
        <f t="shared" si="4"/>
        <v>6</v>
      </c>
      <c r="S2" s="18">
        <f t="shared" si="4"/>
        <v>6</v>
      </c>
      <c r="T2" s="18">
        <f t="shared" si="4"/>
        <v>6</v>
      </c>
      <c r="U2" s="18">
        <f t="shared" si="4"/>
        <v>6</v>
      </c>
      <c r="V2" s="18">
        <f t="shared" si="4"/>
        <v>6</v>
      </c>
      <c r="W2" s="18">
        <f t="shared" si="4"/>
        <v>6</v>
      </c>
      <c r="X2" s="18">
        <f t="shared" si="4"/>
        <v>6</v>
      </c>
      <c r="Y2" s="18">
        <f t="shared" si="4"/>
        <v>6</v>
      </c>
      <c r="Z2" s="18">
        <f t="shared" si="4"/>
        <v>6</v>
      </c>
      <c r="AA2" s="18">
        <f t="shared" si="4"/>
        <v>6</v>
      </c>
      <c r="AB2" s="18">
        <f t="shared" si="4"/>
        <v>6</v>
      </c>
      <c r="AC2" s="18">
        <f t="shared" si="4"/>
        <v>6</v>
      </c>
      <c r="AD2" s="18">
        <f t="shared" si="4"/>
        <v>6</v>
      </c>
      <c r="AE2" s="18">
        <f t="shared" si="4"/>
        <v>6</v>
      </c>
      <c r="AF2" s="18">
        <f t="shared" si="4"/>
        <v>6</v>
      </c>
      <c r="AG2" s="18">
        <f t="shared" si="4"/>
        <v>6</v>
      </c>
      <c r="AH2" s="18">
        <f t="shared" si="4"/>
        <v>6</v>
      </c>
      <c r="AI2" s="18">
        <f t="shared" si="4"/>
        <v>6</v>
      </c>
      <c r="AJ2" s="18">
        <f t="shared" si="4"/>
        <v>6</v>
      </c>
      <c r="AK2" s="18">
        <f t="shared" si="4"/>
        <v>6</v>
      </c>
      <c r="AL2" s="18">
        <f t="shared" si="4"/>
        <v>6</v>
      </c>
      <c r="AM2" s="18">
        <f t="shared" ref="AM2:BS2" si="5">COUNTIFS(AM$19:AM$75,"=1",$C$19:$C$75,"A",$D$19:$D$75,"5.2",$E$19:$E$75,"Lomitas",$F$19:$F$75,"Cerro")</f>
        <v>6</v>
      </c>
      <c r="AN2" s="18">
        <f t="shared" si="5"/>
        <v>6</v>
      </c>
      <c r="AO2" s="18">
        <f t="shared" si="5"/>
        <v>6</v>
      </c>
      <c r="AP2" s="18">
        <f t="shared" si="5"/>
        <v>6</v>
      </c>
      <c r="AQ2" s="18">
        <f t="shared" si="5"/>
        <v>6</v>
      </c>
      <c r="AR2" s="18">
        <f t="shared" si="5"/>
        <v>6</v>
      </c>
      <c r="AS2" s="18">
        <f t="shared" si="5"/>
        <v>6</v>
      </c>
      <c r="AT2" s="18">
        <f t="shared" si="5"/>
        <v>6</v>
      </c>
      <c r="AU2" s="18">
        <f t="shared" si="5"/>
        <v>6</v>
      </c>
      <c r="AV2" s="18">
        <f t="shared" si="5"/>
        <v>6</v>
      </c>
      <c r="AW2" s="18">
        <f t="shared" si="5"/>
        <v>6</v>
      </c>
      <c r="AX2" s="18">
        <f t="shared" si="5"/>
        <v>6</v>
      </c>
      <c r="AY2" s="18">
        <f t="shared" si="5"/>
        <v>6</v>
      </c>
      <c r="AZ2" s="18">
        <f t="shared" si="5"/>
        <v>6</v>
      </c>
      <c r="BA2" s="18">
        <f t="shared" si="5"/>
        <v>5</v>
      </c>
      <c r="BB2" s="18">
        <f t="shared" si="5"/>
        <v>5</v>
      </c>
      <c r="BC2" s="18">
        <f t="shared" si="5"/>
        <v>5</v>
      </c>
      <c r="BD2" s="18">
        <f t="shared" si="5"/>
        <v>5</v>
      </c>
      <c r="BE2" s="18">
        <f t="shared" si="5"/>
        <v>5</v>
      </c>
      <c r="BF2" s="18">
        <f t="shared" si="5"/>
        <v>5</v>
      </c>
      <c r="BG2" s="18">
        <f t="shared" si="5"/>
        <v>5</v>
      </c>
      <c r="BH2" s="18">
        <f t="shared" si="5"/>
        <v>5</v>
      </c>
      <c r="BI2" s="18">
        <f t="shared" si="5"/>
        <v>5</v>
      </c>
      <c r="BJ2" s="18">
        <f t="shared" si="5"/>
        <v>5</v>
      </c>
      <c r="BK2" s="18">
        <f t="shared" si="5"/>
        <v>5</v>
      </c>
      <c r="BL2" s="18">
        <f t="shared" si="5"/>
        <v>5</v>
      </c>
      <c r="BM2" s="18">
        <f t="shared" si="5"/>
        <v>5</v>
      </c>
      <c r="BN2" s="18">
        <f t="shared" si="5"/>
        <v>5</v>
      </c>
      <c r="BO2" s="18">
        <f t="shared" si="5"/>
        <v>5</v>
      </c>
      <c r="BP2" s="18">
        <f t="shared" si="5"/>
        <v>5</v>
      </c>
      <c r="BQ2" s="18">
        <f t="shared" si="5"/>
        <v>5</v>
      </c>
      <c r="BR2" s="18">
        <f t="shared" si="5"/>
        <v>5</v>
      </c>
      <c r="BS2" s="18">
        <f t="shared" si="5"/>
        <v>5</v>
      </c>
      <c r="BT2" s="18">
        <f t="shared" ref="BT2:EE2" si="6">COUNTIFS(BT$19:BT$75,"=1",$C$19:$C$75,"A",$D$19:$D$75,"5.2",$E$19:$E$75,"Lomitas",$F$19:$F$75,"Cerro")</f>
        <v>5</v>
      </c>
      <c r="BU2" s="18">
        <f t="shared" si="6"/>
        <v>5</v>
      </c>
      <c r="BV2" s="18">
        <f t="shared" si="6"/>
        <v>5</v>
      </c>
      <c r="BW2" s="18">
        <f t="shared" si="6"/>
        <v>5</v>
      </c>
      <c r="BX2" s="18">
        <f t="shared" si="6"/>
        <v>5</v>
      </c>
      <c r="BY2" s="18">
        <f t="shared" si="6"/>
        <v>5</v>
      </c>
      <c r="BZ2" s="18">
        <f t="shared" si="6"/>
        <v>5</v>
      </c>
      <c r="CA2" s="18">
        <f t="shared" si="6"/>
        <v>5</v>
      </c>
      <c r="CB2" s="18">
        <f t="shared" si="6"/>
        <v>5</v>
      </c>
      <c r="CC2" s="18">
        <f t="shared" si="6"/>
        <v>5</v>
      </c>
      <c r="CD2" s="18">
        <f t="shared" si="6"/>
        <v>5</v>
      </c>
      <c r="CE2" s="18">
        <f t="shared" si="6"/>
        <v>5</v>
      </c>
      <c r="CF2" s="18">
        <f t="shared" si="6"/>
        <v>5</v>
      </c>
      <c r="CG2" s="18">
        <f t="shared" si="6"/>
        <v>5</v>
      </c>
      <c r="CH2" s="18">
        <f t="shared" si="6"/>
        <v>5</v>
      </c>
      <c r="CI2" s="18">
        <f t="shared" si="6"/>
        <v>5</v>
      </c>
      <c r="CJ2" s="18">
        <f t="shared" si="6"/>
        <v>5</v>
      </c>
      <c r="CK2" s="18">
        <f t="shared" si="6"/>
        <v>5</v>
      </c>
      <c r="CL2" s="18">
        <f t="shared" si="6"/>
        <v>5</v>
      </c>
      <c r="CM2" s="18">
        <f t="shared" si="6"/>
        <v>5</v>
      </c>
      <c r="CN2" s="18">
        <f t="shared" si="6"/>
        <v>5</v>
      </c>
      <c r="CO2" s="18">
        <f t="shared" si="6"/>
        <v>5</v>
      </c>
      <c r="CP2" s="18">
        <f t="shared" si="6"/>
        <v>5</v>
      </c>
      <c r="CQ2" s="18">
        <f t="shared" si="6"/>
        <v>5</v>
      </c>
      <c r="CR2" s="18">
        <f t="shared" si="6"/>
        <v>5</v>
      </c>
      <c r="CS2" s="18">
        <f t="shared" si="6"/>
        <v>5</v>
      </c>
      <c r="CT2" s="18">
        <f t="shared" si="6"/>
        <v>5</v>
      </c>
      <c r="CU2" s="18">
        <f t="shared" si="6"/>
        <v>5</v>
      </c>
      <c r="CV2" s="18">
        <f t="shared" si="6"/>
        <v>5</v>
      </c>
      <c r="CW2" s="18">
        <f t="shared" si="6"/>
        <v>5</v>
      </c>
      <c r="CX2" s="18">
        <f t="shared" si="6"/>
        <v>5</v>
      </c>
      <c r="CY2" s="18">
        <f t="shared" si="6"/>
        <v>5</v>
      </c>
      <c r="CZ2" s="18">
        <f t="shared" si="6"/>
        <v>5</v>
      </c>
      <c r="DA2" s="18">
        <f t="shared" si="6"/>
        <v>5</v>
      </c>
      <c r="DB2" s="18">
        <f t="shared" si="6"/>
        <v>5</v>
      </c>
      <c r="DC2" s="18">
        <f t="shared" si="6"/>
        <v>5</v>
      </c>
      <c r="DD2" s="18">
        <f t="shared" si="6"/>
        <v>5</v>
      </c>
      <c r="DE2" s="18">
        <f t="shared" si="6"/>
        <v>5</v>
      </c>
      <c r="DF2" s="18">
        <f t="shared" si="6"/>
        <v>5</v>
      </c>
      <c r="DG2" s="18">
        <f t="shared" si="6"/>
        <v>5</v>
      </c>
      <c r="DH2" s="18">
        <f t="shared" si="6"/>
        <v>5</v>
      </c>
      <c r="DI2" s="18">
        <f t="shared" si="6"/>
        <v>5</v>
      </c>
      <c r="DJ2" s="18">
        <f t="shared" si="6"/>
        <v>5</v>
      </c>
      <c r="DK2" s="18">
        <f t="shared" si="6"/>
        <v>5</v>
      </c>
      <c r="DL2" s="18">
        <f t="shared" si="6"/>
        <v>5</v>
      </c>
      <c r="DM2" s="18">
        <f t="shared" si="6"/>
        <v>5</v>
      </c>
      <c r="DN2" s="18">
        <f t="shared" si="6"/>
        <v>5</v>
      </c>
      <c r="DO2" s="18">
        <f t="shared" si="6"/>
        <v>5</v>
      </c>
      <c r="DP2" s="18">
        <f t="shared" si="6"/>
        <v>5</v>
      </c>
      <c r="DQ2" s="18">
        <f t="shared" si="6"/>
        <v>5</v>
      </c>
      <c r="DR2" s="18">
        <f t="shared" si="6"/>
        <v>5</v>
      </c>
      <c r="DS2" s="18">
        <f t="shared" si="6"/>
        <v>5</v>
      </c>
      <c r="DT2" s="18">
        <f t="shared" si="6"/>
        <v>5</v>
      </c>
      <c r="DU2" s="18">
        <f t="shared" si="6"/>
        <v>5</v>
      </c>
      <c r="DV2" s="18">
        <f t="shared" si="6"/>
        <v>5</v>
      </c>
      <c r="DW2" s="18">
        <f t="shared" si="6"/>
        <v>5</v>
      </c>
      <c r="DX2" s="18">
        <f t="shared" si="6"/>
        <v>5</v>
      </c>
      <c r="DY2" s="18">
        <f t="shared" si="6"/>
        <v>5</v>
      </c>
      <c r="DZ2" s="18">
        <f t="shared" si="6"/>
        <v>5</v>
      </c>
      <c r="EA2" s="18">
        <f t="shared" si="6"/>
        <v>5</v>
      </c>
      <c r="EB2" s="18">
        <f t="shared" si="6"/>
        <v>5</v>
      </c>
      <c r="EC2" s="18">
        <f t="shared" si="6"/>
        <v>5</v>
      </c>
      <c r="ED2" s="18">
        <f t="shared" si="6"/>
        <v>5</v>
      </c>
      <c r="EE2" s="18">
        <f t="shared" si="6"/>
        <v>5</v>
      </c>
      <c r="EF2" s="18">
        <f t="shared" ref="EF2:GQ2" si="7">COUNTIFS(EF$19:EF$75,"=1",$C$19:$C$75,"A",$D$19:$D$75,"5.2",$E$19:$E$75,"Lomitas",$F$19:$F$75,"Cerro")</f>
        <v>5</v>
      </c>
      <c r="EG2" s="18">
        <f t="shared" si="7"/>
        <v>5</v>
      </c>
      <c r="EH2" s="18">
        <f t="shared" si="7"/>
        <v>5</v>
      </c>
      <c r="EI2" s="18">
        <f t="shared" si="7"/>
        <v>5</v>
      </c>
      <c r="EJ2" s="18">
        <f t="shared" si="7"/>
        <v>5</v>
      </c>
      <c r="EK2" s="18">
        <f t="shared" si="7"/>
        <v>5</v>
      </c>
      <c r="EL2" s="18">
        <f t="shared" si="7"/>
        <v>5</v>
      </c>
      <c r="EM2" s="18">
        <f t="shared" si="7"/>
        <v>5</v>
      </c>
      <c r="EN2" s="18">
        <f t="shared" si="7"/>
        <v>5</v>
      </c>
      <c r="EO2" s="18">
        <f t="shared" si="7"/>
        <v>5</v>
      </c>
      <c r="EP2" s="18">
        <f t="shared" si="7"/>
        <v>5</v>
      </c>
      <c r="EQ2" s="18">
        <f t="shared" si="7"/>
        <v>5</v>
      </c>
      <c r="ER2" s="18">
        <f t="shared" si="7"/>
        <v>5</v>
      </c>
      <c r="ES2" s="18">
        <f t="shared" si="7"/>
        <v>5</v>
      </c>
      <c r="ET2" s="18">
        <f t="shared" si="7"/>
        <v>5</v>
      </c>
      <c r="EU2" s="18">
        <f t="shared" si="7"/>
        <v>5</v>
      </c>
      <c r="EV2" s="18">
        <f t="shared" si="7"/>
        <v>5</v>
      </c>
      <c r="EW2" s="18">
        <f t="shared" si="7"/>
        <v>5</v>
      </c>
      <c r="EX2" s="18">
        <f t="shared" si="7"/>
        <v>5</v>
      </c>
      <c r="EY2" s="18">
        <f t="shared" si="7"/>
        <v>5</v>
      </c>
      <c r="EZ2" s="18">
        <f t="shared" si="7"/>
        <v>5</v>
      </c>
      <c r="FA2" s="18">
        <f t="shared" si="7"/>
        <v>5</v>
      </c>
      <c r="FB2" s="18">
        <f t="shared" si="7"/>
        <v>5</v>
      </c>
      <c r="FC2" s="18">
        <f t="shared" si="7"/>
        <v>5</v>
      </c>
      <c r="FD2" s="18">
        <f t="shared" si="7"/>
        <v>5</v>
      </c>
      <c r="FE2" s="18">
        <f t="shared" si="7"/>
        <v>5</v>
      </c>
      <c r="FF2" s="18">
        <f t="shared" si="7"/>
        <v>5</v>
      </c>
      <c r="FG2" s="18">
        <f t="shared" si="7"/>
        <v>5</v>
      </c>
      <c r="FH2" s="18">
        <f t="shared" si="7"/>
        <v>5</v>
      </c>
      <c r="FI2" s="18">
        <f t="shared" si="7"/>
        <v>5</v>
      </c>
      <c r="FJ2" s="18">
        <f t="shared" si="7"/>
        <v>5</v>
      </c>
      <c r="FK2" s="18">
        <f t="shared" si="7"/>
        <v>5</v>
      </c>
      <c r="FL2" s="18">
        <f t="shared" si="7"/>
        <v>5</v>
      </c>
      <c r="FM2" s="18">
        <f t="shared" si="7"/>
        <v>5</v>
      </c>
      <c r="FN2" s="18">
        <f t="shared" si="7"/>
        <v>5</v>
      </c>
      <c r="FO2" s="18">
        <f t="shared" si="7"/>
        <v>5</v>
      </c>
      <c r="FP2" s="18">
        <f t="shared" si="7"/>
        <v>5</v>
      </c>
      <c r="FQ2" s="18">
        <f t="shared" si="7"/>
        <v>5</v>
      </c>
      <c r="FR2" s="18">
        <f t="shared" si="7"/>
        <v>5</v>
      </c>
      <c r="FS2" s="18">
        <f t="shared" si="7"/>
        <v>5</v>
      </c>
      <c r="FT2" s="18">
        <f t="shared" si="7"/>
        <v>5</v>
      </c>
      <c r="FU2" s="18">
        <f t="shared" si="7"/>
        <v>5</v>
      </c>
      <c r="FV2" s="18">
        <f t="shared" si="7"/>
        <v>5</v>
      </c>
      <c r="FW2" s="18">
        <f t="shared" si="7"/>
        <v>5</v>
      </c>
      <c r="FX2" s="18">
        <f t="shared" si="7"/>
        <v>5</v>
      </c>
      <c r="FY2" s="18">
        <f t="shared" si="7"/>
        <v>5</v>
      </c>
      <c r="FZ2" s="18">
        <f t="shared" si="7"/>
        <v>5</v>
      </c>
      <c r="GA2" s="18">
        <f t="shared" si="7"/>
        <v>5</v>
      </c>
      <c r="GB2" s="18">
        <f t="shared" si="7"/>
        <v>5</v>
      </c>
      <c r="GC2" s="18">
        <f t="shared" si="7"/>
        <v>5</v>
      </c>
      <c r="GD2" s="18">
        <f t="shared" si="7"/>
        <v>5</v>
      </c>
      <c r="GE2" s="18">
        <f t="shared" si="7"/>
        <v>5</v>
      </c>
      <c r="GF2" s="18">
        <f t="shared" si="7"/>
        <v>5</v>
      </c>
      <c r="GG2" s="18">
        <f t="shared" si="7"/>
        <v>5</v>
      </c>
      <c r="GH2" s="18">
        <f t="shared" si="7"/>
        <v>5</v>
      </c>
      <c r="GI2" s="18">
        <f t="shared" si="7"/>
        <v>5</v>
      </c>
      <c r="GJ2" s="18">
        <f t="shared" si="7"/>
        <v>5</v>
      </c>
      <c r="GK2" s="18">
        <f t="shared" si="7"/>
        <v>5</v>
      </c>
      <c r="GL2" s="18">
        <f t="shared" si="7"/>
        <v>5</v>
      </c>
      <c r="GM2" s="18">
        <f t="shared" si="7"/>
        <v>5</v>
      </c>
      <c r="GN2" s="18">
        <f t="shared" si="7"/>
        <v>5</v>
      </c>
      <c r="GO2" s="18">
        <f t="shared" si="7"/>
        <v>5</v>
      </c>
      <c r="GP2" s="18">
        <f t="shared" si="7"/>
        <v>5</v>
      </c>
      <c r="GQ2" s="18">
        <f t="shared" si="7"/>
        <v>5</v>
      </c>
      <c r="GR2" s="18">
        <f t="shared" ref="GR2:HX2" si="8">COUNTIFS(GR$19:GR$75,"=1",$C$19:$C$75,"A",$D$19:$D$75,"5.2",$E$19:$E$75,"Lomitas",$F$19:$F$75,"Cerro")</f>
        <v>5</v>
      </c>
      <c r="GS2" s="18">
        <f t="shared" si="8"/>
        <v>5</v>
      </c>
      <c r="GT2" s="18">
        <f t="shared" si="8"/>
        <v>5</v>
      </c>
      <c r="GU2" s="18">
        <f t="shared" si="8"/>
        <v>5</v>
      </c>
      <c r="GV2" s="18">
        <f t="shared" si="8"/>
        <v>5</v>
      </c>
      <c r="GW2" s="18">
        <f t="shared" si="8"/>
        <v>5</v>
      </c>
      <c r="GX2" s="18">
        <f t="shared" si="8"/>
        <v>5</v>
      </c>
      <c r="GY2" s="18">
        <f t="shared" si="8"/>
        <v>5</v>
      </c>
      <c r="GZ2" s="18">
        <f t="shared" si="8"/>
        <v>5</v>
      </c>
      <c r="HA2" s="18">
        <f t="shared" si="8"/>
        <v>5</v>
      </c>
      <c r="HB2" s="18">
        <f t="shared" si="8"/>
        <v>5</v>
      </c>
      <c r="HC2" s="18">
        <f t="shared" si="8"/>
        <v>5</v>
      </c>
      <c r="HD2" s="18">
        <f t="shared" si="8"/>
        <v>5</v>
      </c>
      <c r="HE2" s="18">
        <f t="shared" si="8"/>
        <v>5</v>
      </c>
      <c r="HF2" s="18">
        <f t="shared" si="8"/>
        <v>5</v>
      </c>
      <c r="HG2" s="18">
        <f t="shared" si="8"/>
        <v>5</v>
      </c>
      <c r="HH2" s="18">
        <f t="shared" si="8"/>
        <v>5</v>
      </c>
      <c r="HI2" s="18">
        <f t="shared" si="8"/>
        <v>5</v>
      </c>
      <c r="HJ2" s="18">
        <f t="shared" si="8"/>
        <v>5</v>
      </c>
      <c r="HK2" s="18">
        <f t="shared" si="8"/>
        <v>5</v>
      </c>
      <c r="HL2" s="18">
        <f t="shared" si="8"/>
        <v>5</v>
      </c>
      <c r="HM2" s="18">
        <f t="shared" si="8"/>
        <v>5</v>
      </c>
      <c r="HN2" s="18">
        <f t="shared" si="8"/>
        <v>5</v>
      </c>
      <c r="HO2" s="18">
        <f t="shared" si="8"/>
        <v>5</v>
      </c>
      <c r="HP2" s="18">
        <f t="shared" si="8"/>
        <v>5</v>
      </c>
      <c r="HQ2" s="18">
        <f t="shared" si="8"/>
        <v>5</v>
      </c>
      <c r="HR2" s="18">
        <f t="shared" si="8"/>
        <v>5</v>
      </c>
      <c r="HS2" s="18">
        <f t="shared" si="8"/>
        <v>5</v>
      </c>
      <c r="HT2" s="18">
        <f t="shared" si="8"/>
        <v>5</v>
      </c>
      <c r="HU2" s="18">
        <f t="shared" si="8"/>
        <v>5</v>
      </c>
      <c r="HV2" s="18">
        <f t="shared" si="8"/>
        <v>5</v>
      </c>
      <c r="HW2" s="18">
        <f t="shared" si="8"/>
        <v>5</v>
      </c>
      <c r="HX2" s="18">
        <f t="shared" si="8"/>
        <v>5</v>
      </c>
    </row>
    <row r="3" spans="1:232" hidden="1" x14ac:dyDescent="0.2">
      <c r="E3" s="18" t="s">
        <v>127</v>
      </c>
      <c r="F3" s="18" t="s">
        <v>134</v>
      </c>
      <c r="G3" s="18">
        <f t="shared" ref="G3:AL3" si="9">COUNTIFS(G$19:G$75,"=1",$C$19:$C$75,"A",$D$19:$D$75,"5.2",$E$19:$E$75,"Lomitas",$F$19:$F$75,"Medio")</f>
        <v>7</v>
      </c>
      <c r="H3" s="18">
        <f t="shared" si="9"/>
        <v>7</v>
      </c>
      <c r="I3" s="18">
        <f t="shared" si="9"/>
        <v>7</v>
      </c>
      <c r="J3" s="18">
        <f t="shared" si="9"/>
        <v>7</v>
      </c>
      <c r="K3" s="18">
        <f t="shared" si="9"/>
        <v>7</v>
      </c>
      <c r="L3" s="18">
        <f t="shared" si="9"/>
        <v>7</v>
      </c>
      <c r="M3" s="18">
        <f t="shared" si="9"/>
        <v>7</v>
      </c>
      <c r="N3" s="18">
        <f t="shared" si="9"/>
        <v>7</v>
      </c>
      <c r="O3" s="18">
        <f t="shared" si="9"/>
        <v>7</v>
      </c>
      <c r="P3" s="18">
        <f t="shared" si="9"/>
        <v>7</v>
      </c>
      <c r="Q3" s="18">
        <f t="shared" si="9"/>
        <v>7</v>
      </c>
      <c r="R3" s="18">
        <f t="shared" si="9"/>
        <v>7</v>
      </c>
      <c r="S3" s="18">
        <f t="shared" si="9"/>
        <v>7</v>
      </c>
      <c r="T3" s="18">
        <f t="shared" si="9"/>
        <v>7</v>
      </c>
      <c r="U3" s="18">
        <f t="shared" si="9"/>
        <v>7</v>
      </c>
      <c r="V3" s="18">
        <f t="shared" si="9"/>
        <v>7</v>
      </c>
      <c r="W3" s="18">
        <f t="shared" si="9"/>
        <v>7</v>
      </c>
      <c r="X3" s="18">
        <f t="shared" si="9"/>
        <v>7</v>
      </c>
      <c r="Y3" s="18">
        <f t="shared" si="9"/>
        <v>7</v>
      </c>
      <c r="Z3" s="18">
        <f t="shared" si="9"/>
        <v>7</v>
      </c>
      <c r="AA3" s="18">
        <f t="shared" si="9"/>
        <v>7</v>
      </c>
      <c r="AB3" s="18">
        <f t="shared" si="9"/>
        <v>7</v>
      </c>
      <c r="AC3" s="18">
        <f t="shared" si="9"/>
        <v>7</v>
      </c>
      <c r="AD3" s="18">
        <f t="shared" si="9"/>
        <v>7</v>
      </c>
      <c r="AE3" s="18">
        <f t="shared" si="9"/>
        <v>7</v>
      </c>
      <c r="AF3" s="18">
        <f t="shared" si="9"/>
        <v>7</v>
      </c>
      <c r="AG3" s="18">
        <f t="shared" si="9"/>
        <v>7</v>
      </c>
      <c r="AH3" s="18">
        <f t="shared" si="9"/>
        <v>7</v>
      </c>
      <c r="AI3" s="18">
        <f t="shared" si="9"/>
        <v>7</v>
      </c>
      <c r="AJ3" s="18">
        <f t="shared" si="9"/>
        <v>7</v>
      </c>
      <c r="AK3" s="18">
        <f t="shared" si="9"/>
        <v>7</v>
      </c>
      <c r="AL3" s="18">
        <f t="shared" si="9"/>
        <v>7</v>
      </c>
      <c r="AM3" s="18">
        <f t="shared" ref="AM3:BS3" si="10">COUNTIFS(AM$19:AM$75,"=1",$C$19:$C$75,"A",$D$19:$D$75,"5.2",$E$19:$E$75,"Lomitas",$F$19:$F$75,"Medio")</f>
        <v>7</v>
      </c>
      <c r="AN3" s="18">
        <f t="shared" si="10"/>
        <v>7</v>
      </c>
      <c r="AO3" s="18">
        <f t="shared" si="10"/>
        <v>7</v>
      </c>
      <c r="AP3" s="18">
        <f t="shared" si="10"/>
        <v>7</v>
      </c>
      <c r="AQ3" s="18">
        <f t="shared" si="10"/>
        <v>7</v>
      </c>
      <c r="AR3" s="18">
        <f t="shared" si="10"/>
        <v>7</v>
      </c>
      <c r="AS3" s="18">
        <f t="shared" si="10"/>
        <v>7</v>
      </c>
      <c r="AT3" s="18">
        <f t="shared" si="10"/>
        <v>7</v>
      </c>
      <c r="AU3" s="18">
        <f t="shared" si="10"/>
        <v>7</v>
      </c>
      <c r="AV3" s="18">
        <f t="shared" si="10"/>
        <v>7</v>
      </c>
      <c r="AW3" s="18">
        <f t="shared" si="10"/>
        <v>7</v>
      </c>
      <c r="AX3" s="18">
        <f t="shared" si="10"/>
        <v>7</v>
      </c>
      <c r="AY3" s="18">
        <f t="shared" si="10"/>
        <v>7</v>
      </c>
      <c r="AZ3" s="18">
        <f t="shared" si="10"/>
        <v>7</v>
      </c>
      <c r="BA3" s="18">
        <f t="shared" si="10"/>
        <v>7</v>
      </c>
      <c r="BB3" s="18">
        <f t="shared" si="10"/>
        <v>7</v>
      </c>
      <c r="BC3" s="18">
        <f t="shared" si="10"/>
        <v>7</v>
      </c>
      <c r="BD3" s="18">
        <f t="shared" si="10"/>
        <v>7</v>
      </c>
      <c r="BE3" s="18">
        <f t="shared" si="10"/>
        <v>7</v>
      </c>
      <c r="BF3" s="18">
        <f t="shared" si="10"/>
        <v>7</v>
      </c>
      <c r="BG3" s="18">
        <f t="shared" si="10"/>
        <v>7</v>
      </c>
      <c r="BH3" s="18">
        <f t="shared" si="10"/>
        <v>7</v>
      </c>
      <c r="BI3" s="18">
        <f t="shared" si="10"/>
        <v>7</v>
      </c>
      <c r="BJ3" s="18">
        <f t="shared" si="10"/>
        <v>7</v>
      </c>
      <c r="BK3" s="18">
        <f t="shared" si="10"/>
        <v>7</v>
      </c>
      <c r="BL3" s="18">
        <f t="shared" si="10"/>
        <v>8</v>
      </c>
      <c r="BM3" s="18">
        <f t="shared" si="10"/>
        <v>8</v>
      </c>
      <c r="BN3" s="18">
        <f t="shared" si="10"/>
        <v>8</v>
      </c>
      <c r="BO3" s="18">
        <f t="shared" si="10"/>
        <v>8</v>
      </c>
      <c r="BP3" s="18">
        <f t="shared" si="10"/>
        <v>8</v>
      </c>
      <c r="BQ3" s="18">
        <f t="shared" si="10"/>
        <v>8</v>
      </c>
      <c r="BR3" s="18">
        <f t="shared" si="10"/>
        <v>8</v>
      </c>
      <c r="BS3" s="18">
        <f t="shared" si="10"/>
        <v>8</v>
      </c>
      <c r="BT3" s="18">
        <f t="shared" ref="BT3:EE3" si="11">COUNTIFS(BT$19:BT$75,"=1",$C$19:$C$75,"A",$D$19:$D$75,"5.2",$E$19:$E$75,"Lomitas",$F$19:$F$75,"Medio")</f>
        <v>8</v>
      </c>
      <c r="BU3" s="18">
        <f t="shared" si="11"/>
        <v>8</v>
      </c>
      <c r="BV3" s="18">
        <f t="shared" si="11"/>
        <v>8</v>
      </c>
      <c r="BW3" s="18">
        <f t="shared" si="11"/>
        <v>8</v>
      </c>
      <c r="BX3" s="18">
        <f t="shared" si="11"/>
        <v>8</v>
      </c>
      <c r="BY3" s="18">
        <f t="shared" si="11"/>
        <v>7</v>
      </c>
      <c r="BZ3" s="18">
        <f t="shared" si="11"/>
        <v>7</v>
      </c>
      <c r="CA3" s="18">
        <f t="shared" si="11"/>
        <v>7</v>
      </c>
      <c r="CB3" s="18">
        <f t="shared" si="11"/>
        <v>7</v>
      </c>
      <c r="CC3" s="18">
        <f t="shared" si="11"/>
        <v>7</v>
      </c>
      <c r="CD3" s="18">
        <f t="shared" si="11"/>
        <v>7</v>
      </c>
      <c r="CE3" s="18">
        <f t="shared" si="11"/>
        <v>7</v>
      </c>
      <c r="CF3" s="18">
        <f t="shared" si="11"/>
        <v>7</v>
      </c>
      <c r="CG3" s="18">
        <f t="shared" si="11"/>
        <v>7</v>
      </c>
      <c r="CH3" s="18">
        <f t="shared" si="11"/>
        <v>7</v>
      </c>
      <c r="CI3" s="18">
        <f t="shared" si="11"/>
        <v>7</v>
      </c>
      <c r="CJ3" s="18">
        <f t="shared" si="11"/>
        <v>8</v>
      </c>
      <c r="CK3" s="18">
        <f t="shared" si="11"/>
        <v>8</v>
      </c>
      <c r="CL3" s="18">
        <f t="shared" si="11"/>
        <v>8</v>
      </c>
      <c r="CM3" s="18">
        <f t="shared" si="11"/>
        <v>8</v>
      </c>
      <c r="CN3" s="18">
        <f t="shared" si="11"/>
        <v>8</v>
      </c>
      <c r="CO3" s="18">
        <f t="shared" si="11"/>
        <v>8</v>
      </c>
      <c r="CP3" s="18">
        <f t="shared" si="11"/>
        <v>8</v>
      </c>
      <c r="CQ3" s="18">
        <f t="shared" si="11"/>
        <v>8</v>
      </c>
      <c r="CR3" s="18">
        <f t="shared" si="11"/>
        <v>8</v>
      </c>
      <c r="CS3" s="18">
        <f t="shared" si="11"/>
        <v>8</v>
      </c>
      <c r="CT3" s="18">
        <f t="shared" si="11"/>
        <v>8</v>
      </c>
      <c r="CU3" s="18">
        <f t="shared" si="11"/>
        <v>8</v>
      </c>
      <c r="CV3" s="18">
        <f t="shared" si="11"/>
        <v>8</v>
      </c>
      <c r="CW3" s="18">
        <f t="shared" si="11"/>
        <v>7</v>
      </c>
      <c r="CX3" s="18">
        <f t="shared" si="11"/>
        <v>7</v>
      </c>
      <c r="CY3" s="18">
        <f t="shared" si="11"/>
        <v>7</v>
      </c>
      <c r="CZ3" s="18">
        <f t="shared" si="11"/>
        <v>7</v>
      </c>
      <c r="DA3" s="18">
        <f t="shared" si="11"/>
        <v>7</v>
      </c>
      <c r="DB3" s="18">
        <f t="shared" si="11"/>
        <v>7</v>
      </c>
      <c r="DC3" s="18">
        <f t="shared" si="11"/>
        <v>7</v>
      </c>
      <c r="DD3" s="18">
        <f t="shared" si="11"/>
        <v>7</v>
      </c>
      <c r="DE3" s="18">
        <f t="shared" si="11"/>
        <v>7</v>
      </c>
      <c r="DF3" s="18">
        <f t="shared" si="11"/>
        <v>7</v>
      </c>
      <c r="DG3" s="18">
        <f t="shared" si="11"/>
        <v>7</v>
      </c>
      <c r="DH3" s="18">
        <f t="shared" si="11"/>
        <v>8</v>
      </c>
      <c r="DI3" s="18">
        <f t="shared" si="11"/>
        <v>8</v>
      </c>
      <c r="DJ3" s="18">
        <f t="shared" si="11"/>
        <v>8</v>
      </c>
      <c r="DK3" s="18">
        <f t="shared" si="11"/>
        <v>8</v>
      </c>
      <c r="DL3" s="18">
        <f t="shared" si="11"/>
        <v>8</v>
      </c>
      <c r="DM3" s="18">
        <f t="shared" si="11"/>
        <v>8</v>
      </c>
      <c r="DN3" s="18">
        <f t="shared" si="11"/>
        <v>8</v>
      </c>
      <c r="DO3" s="18">
        <f t="shared" si="11"/>
        <v>8</v>
      </c>
      <c r="DP3" s="18">
        <f t="shared" si="11"/>
        <v>8</v>
      </c>
      <c r="DQ3" s="18">
        <f t="shared" si="11"/>
        <v>8</v>
      </c>
      <c r="DR3" s="18">
        <f t="shared" si="11"/>
        <v>8</v>
      </c>
      <c r="DS3" s="18">
        <f t="shared" si="11"/>
        <v>8</v>
      </c>
      <c r="DT3" s="18">
        <f t="shared" si="11"/>
        <v>8</v>
      </c>
      <c r="DU3" s="18">
        <f t="shared" si="11"/>
        <v>7</v>
      </c>
      <c r="DV3" s="18">
        <f t="shared" si="11"/>
        <v>7</v>
      </c>
      <c r="DW3" s="18">
        <f t="shared" si="11"/>
        <v>7</v>
      </c>
      <c r="DX3" s="18">
        <f t="shared" si="11"/>
        <v>7</v>
      </c>
      <c r="DY3" s="18">
        <f t="shared" si="11"/>
        <v>7</v>
      </c>
      <c r="DZ3" s="18">
        <f t="shared" si="11"/>
        <v>7</v>
      </c>
      <c r="EA3" s="18">
        <f t="shared" si="11"/>
        <v>7</v>
      </c>
      <c r="EB3" s="18">
        <f t="shared" si="11"/>
        <v>7</v>
      </c>
      <c r="EC3" s="18">
        <f t="shared" si="11"/>
        <v>7</v>
      </c>
      <c r="ED3" s="18">
        <f t="shared" si="11"/>
        <v>7</v>
      </c>
      <c r="EE3" s="18">
        <f t="shared" si="11"/>
        <v>7</v>
      </c>
      <c r="EF3" s="18">
        <f t="shared" ref="EF3:GQ3" si="12">COUNTIFS(EF$19:EF$75,"=1",$C$19:$C$75,"A",$D$19:$D$75,"5.2",$E$19:$E$75,"Lomitas",$F$19:$F$75,"Medio")</f>
        <v>8</v>
      </c>
      <c r="EG3" s="18">
        <f t="shared" si="12"/>
        <v>8</v>
      </c>
      <c r="EH3" s="18">
        <f t="shared" si="12"/>
        <v>8</v>
      </c>
      <c r="EI3" s="18">
        <f t="shared" si="12"/>
        <v>8</v>
      </c>
      <c r="EJ3" s="18">
        <f t="shared" si="12"/>
        <v>8</v>
      </c>
      <c r="EK3" s="18">
        <f t="shared" si="12"/>
        <v>8</v>
      </c>
      <c r="EL3" s="18">
        <f t="shared" si="12"/>
        <v>8</v>
      </c>
      <c r="EM3" s="18">
        <f t="shared" si="12"/>
        <v>8</v>
      </c>
      <c r="EN3" s="18">
        <f t="shared" si="12"/>
        <v>8</v>
      </c>
      <c r="EO3" s="18">
        <f t="shared" si="12"/>
        <v>8</v>
      </c>
      <c r="EP3" s="18">
        <f t="shared" si="12"/>
        <v>8</v>
      </c>
      <c r="EQ3" s="18">
        <f t="shared" si="12"/>
        <v>8</v>
      </c>
      <c r="ER3" s="18">
        <f t="shared" si="12"/>
        <v>8</v>
      </c>
      <c r="ES3" s="18">
        <f t="shared" si="12"/>
        <v>7</v>
      </c>
      <c r="ET3" s="18">
        <f t="shared" si="12"/>
        <v>7</v>
      </c>
      <c r="EU3" s="18">
        <f t="shared" si="12"/>
        <v>7</v>
      </c>
      <c r="EV3" s="18">
        <f t="shared" si="12"/>
        <v>7</v>
      </c>
      <c r="EW3" s="18">
        <f t="shared" si="12"/>
        <v>7</v>
      </c>
      <c r="EX3" s="18">
        <f t="shared" si="12"/>
        <v>7</v>
      </c>
      <c r="EY3" s="18">
        <f t="shared" si="12"/>
        <v>7</v>
      </c>
      <c r="EZ3" s="18">
        <f t="shared" si="12"/>
        <v>7</v>
      </c>
      <c r="FA3" s="18">
        <f t="shared" si="12"/>
        <v>7</v>
      </c>
      <c r="FB3" s="18">
        <f t="shared" si="12"/>
        <v>7</v>
      </c>
      <c r="FC3" s="18">
        <f t="shared" si="12"/>
        <v>7</v>
      </c>
      <c r="FD3" s="18">
        <f t="shared" si="12"/>
        <v>8</v>
      </c>
      <c r="FE3" s="18">
        <f t="shared" si="12"/>
        <v>8</v>
      </c>
      <c r="FF3" s="18">
        <f t="shared" si="12"/>
        <v>8</v>
      </c>
      <c r="FG3" s="18">
        <f t="shared" si="12"/>
        <v>8</v>
      </c>
      <c r="FH3" s="18">
        <f t="shared" si="12"/>
        <v>8</v>
      </c>
      <c r="FI3" s="18">
        <f t="shared" si="12"/>
        <v>8</v>
      </c>
      <c r="FJ3" s="18">
        <f t="shared" si="12"/>
        <v>8</v>
      </c>
      <c r="FK3" s="18">
        <f t="shared" si="12"/>
        <v>8</v>
      </c>
      <c r="FL3" s="18">
        <f t="shared" si="12"/>
        <v>8</v>
      </c>
      <c r="FM3" s="18">
        <f t="shared" si="12"/>
        <v>8</v>
      </c>
      <c r="FN3" s="18">
        <f t="shared" si="12"/>
        <v>8</v>
      </c>
      <c r="FO3" s="18">
        <f t="shared" si="12"/>
        <v>8</v>
      </c>
      <c r="FP3" s="18">
        <f t="shared" si="12"/>
        <v>8</v>
      </c>
      <c r="FQ3" s="18">
        <f t="shared" si="12"/>
        <v>7</v>
      </c>
      <c r="FR3" s="18">
        <f t="shared" si="12"/>
        <v>7</v>
      </c>
      <c r="FS3" s="18">
        <f t="shared" si="12"/>
        <v>7</v>
      </c>
      <c r="FT3" s="18">
        <f t="shared" si="12"/>
        <v>7</v>
      </c>
      <c r="FU3" s="18">
        <f t="shared" si="12"/>
        <v>7</v>
      </c>
      <c r="FV3" s="18">
        <f t="shared" si="12"/>
        <v>7</v>
      </c>
      <c r="FW3" s="18">
        <f t="shared" si="12"/>
        <v>7</v>
      </c>
      <c r="FX3" s="18">
        <f t="shared" si="12"/>
        <v>7</v>
      </c>
      <c r="FY3" s="18">
        <f t="shared" si="12"/>
        <v>7</v>
      </c>
      <c r="FZ3" s="18">
        <f t="shared" si="12"/>
        <v>7</v>
      </c>
      <c r="GA3" s="18">
        <f t="shared" si="12"/>
        <v>7</v>
      </c>
      <c r="GB3" s="18">
        <f t="shared" si="12"/>
        <v>8</v>
      </c>
      <c r="GC3" s="18">
        <f t="shared" si="12"/>
        <v>8</v>
      </c>
      <c r="GD3" s="18">
        <f t="shared" si="12"/>
        <v>8</v>
      </c>
      <c r="GE3" s="18">
        <f t="shared" si="12"/>
        <v>8</v>
      </c>
      <c r="GF3" s="18">
        <f t="shared" si="12"/>
        <v>8</v>
      </c>
      <c r="GG3" s="18">
        <f t="shared" si="12"/>
        <v>8</v>
      </c>
      <c r="GH3" s="18">
        <f t="shared" si="12"/>
        <v>8</v>
      </c>
      <c r="GI3" s="18">
        <f t="shared" si="12"/>
        <v>8</v>
      </c>
      <c r="GJ3" s="18">
        <f t="shared" si="12"/>
        <v>8</v>
      </c>
      <c r="GK3" s="18">
        <f t="shared" si="12"/>
        <v>8</v>
      </c>
      <c r="GL3" s="18">
        <f t="shared" si="12"/>
        <v>8</v>
      </c>
      <c r="GM3" s="18">
        <f t="shared" si="12"/>
        <v>8</v>
      </c>
      <c r="GN3" s="18">
        <f t="shared" si="12"/>
        <v>8</v>
      </c>
      <c r="GO3" s="18">
        <f t="shared" si="12"/>
        <v>7</v>
      </c>
      <c r="GP3" s="18">
        <f t="shared" si="12"/>
        <v>7</v>
      </c>
      <c r="GQ3" s="18">
        <f t="shared" si="12"/>
        <v>7</v>
      </c>
      <c r="GR3" s="18">
        <f t="shared" ref="GR3:HX3" si="13">COUNTIFS(GR$19:GR$75,"=1",$C$19:$C$75,"A",$D$19:$D$75,"5.2",$E$19:$E$75,"Lomitas",$F$19:$F$75,"Medio")</f>
        <v>7</v>
      </c>
      <c r="GS3" s="18">
        <f t="shared" si="13"/>
        <v>7</v>
      </c>
      <c r="GT3" s="18">
        <f t="shared" si="13"/>
        <v>7</v>
      </c>
      <c r="GU3" s="18">
        <f t="shared" si="13"/>
        <v>7</v>
      </c>
      <c r="GV3" s="18">
        <f t="shared" si="13"/>
        <v>7</v>
      </c>
      <c r="GW3" s="18">
        <f t="shared" si="13"/>
        <v>7</v>
      </c>
      <c r="GX3" s="18">
        <f t="shared" si="13"/>
        <v>7</v>
      </c>
      <c r="GY3" s="18">
        <f t="shared" si="13"/>
        <v>7</v>
      </c>
      <c r="GZ3" s="18">
        <f t="shared" si="13"/>
        <v>8</v>
      </c>
      <c r="HA3" s="18">
        <f t="shared" si="13"/>
        <v>8</v>
      </c>
      <c r="HB3" s="18">
        <f t="shared" si="13"/>
        <v>8</v>
      </c>
      <c r="HC3" s="18">
        <f t="shared" si="13"/>
        <v>8</v>
      </c>
      <c r="HD3" s="18">
        <f t="shared" si="13"/>
        <v>8</v>
      </c>
      <c r="HE3" s="18">
        <f t="shared" si="13"/>
        <v>8</v>
      </c>
      <c r="HF3" s="18">
        <f t="shared" si="13"/>
        <v>8</v>
      </c>
      <c r="HG3" s="18">
        <f t="shared" si="13"/>
        <v>8</v>
      </c>
      <c r="HH3" s="18">
        <f t="shared" si="13"/>
        <v>8</v>
      </c>
      <c r="HI3" s="18">
        <f t="shared" si="13"/>
        <v>8</v>
      </c>
      <c r="HJ3" s="18">
        <f t="shared" si="13"/>
        <v>8</v>
      </c>
      <c r="HK3" s="18">
        <f t="shared" si="13"/>
        <v>8</v>
      </c>
      <c r="HL3" s="18">
        <f t="shared" si="13"/>
        <v>8</v>
      </c>
      <c r="HM3" s="18">
        <f t="shared" si="13"/>
        <v>7</v>
      </c>
      <c r="HN3" s="18">
        <f t="shared" si="13"/>
        <v>7</v>
      </c>
      <c r="HO3" s="18">
        <f t="shared" si="13"/>
        <v>7</v>
      </c>
      <c r="HP3" s="18">
        <f t="shared" si="13"/>
        <v>7</v>
      </c>
      <c r="HQ3" s="18">
        <f t="shared" si="13"/>
        <v>7</v>
      </c>
      <c r="HR3" s="18">
        <f t="shared" si="13"/>
        <v>7</v>
      </c>
      <c r="HS3" s="18">
        <f t="shared" si="13"/>
        <v>7</v>
      </c>
      <c r="HT3" s="18">
        <f t="shared" si="13"/>
        <v>7</v>
      </c>
      <c r="HU3" s="18">
        <f t="shared" si="13"/>
        <v>7</v>
      </c>
      <c r="HV3" s="18">
        <f t="shared" si="13"/>
        <v>7</v>
      </c>
      <c r="HW3" s="18">
        <f t="shared" si="13"/>
        <v>7</v>
      </c>
      <c r="HX3" s="18">
        <f t="shared" si="13"/>
        <v>8</v>
      </c>
    </row>
    <row r="4" spans="1:232" hidden="1" x14ac:dyDescent="0.2">
      <c r="E4" s="18" t="s">
        <v>127</v>
      </c>
      <c r="F4" s="18" t="s">
        <v>135</v>
      </c>
      <c r="G4" s="18">
        <f t="shared" ref="G4:AL4" si="14">COUNTIFS(G$19:G$75,"=1",$C$19:$C$75,"A",$D$19:$D$75,"5.2",$E$19:$E$75,"Lomitas",$F$19:$F$75,"Mar")</f>
        <v>9</v>
      </c>
      <c r="H4" s="18">
        <f t="shared" si="14"/>
        <v>9</v>
      </c>
      <c r="I4" s="18">
        <f t="shared" si="14"/>
        <v>9</v>
      </c>
      <c r="J4" s="18">
        <f t="shared" si="14"/>
        <v>9</v>
      </c>
      <c r="K4" s="18">
        <f t="shared" si="14"/>
        <v>9</v>
      </c>
      <c r="L4" s="18">
        <f t="shared" si="14"/>
        <v>9</v>
      </c>
      <c r="M4" s="18">
        <f t="shared" si="14"/>
        <v>9</v>
      </c>
      <c r="N4" s="18">
        <f t="shared" si="14"/>
        <v>9</v>
      </c>
      <c r="O4" s="18">
        <f t="shared" si="14"/>
        <v>9</v>
      </c>
      <c r="P4" s="18">
        <f t="shared" si="14"/>
        <v>9</v>
      </c>
      <c r="Q4" s="18">
        <f t="shared" si="14"/>
        <v>9</v>
      </c>
      <c r="R4" s="18">
        <f t="shared" si="14"/>
        <v>9</v>
      </c>
      <c r="S4" s="18">
        <f t="shared" si="14"/>
        <v>9</v>
      </c>
      <c r="T4" s="18">
        <f t="shared" si="14"/>
        <v>9</v>
      </c>
      <c r="U4" s="18">
        <f t="shared" si="14"/>
        <v>9</v>
      </c>
      <c r="V4" s="18">
        <f t="shared" si="14"/>
        <v>9</v>
      </c>
      <c r="W4" s="18">
        <f t="shared" si="14"/>
        <v>9</v>
      </c>
      <c r="X4" s="18">
        <f t="shared" si="14"/>
        <v>9</v>
      </c>
      <c r="Y4" s="18">
        <f t="shared" si="14"/>
        <v>9</v>
      </c>
      <c r="Z4" s="18">
        <f t="shared" si="14"/>
        <v>9</v>
      </c>
      <c r="AA4" s="18">
        <f t="shared" si="14"/>
        <v>9</v>
      </c>
      <c r="AB4" s="18">
        <f t="shared" si="14"/>
        <v>9</v>
      </c>
      <c r="AC4" s="18">
        <f t="shared" si="14"/>
        <v>9</v>
      </c>
      <c r="AD4" s="18">
        <f t="shared" si="14"/>
        <v>9</v>
      </c>
      <c r="AE4" s="18">
        <f t="shared" si="14"/>
        <v>9</v>
      </c>
      <c r="AF4" s="18">
        <f t="shared" si="14"/>
        <v>9</v>
      </c>
      <c r="AG4" s="18">
        <f t="shared" si="14"/>
        <v>9</v>
      </c>
      <c r="AH4" s="18">
        <f t="shared" si="14"/>
        <v>9</v>
      </c>
      <c r="AI4" s="18">
        <f t="shared" si="14"/>
        <v>9</v>
      </c>
      <c r="AJ4" s="18">
        <f t="shared" si="14"/>
        <v>9</v>
      </c>
      <c r="AK4" s="18">
        <f t="shared" si="14"/>
        <v>9</v>
      </c>
      <c r="AL4" s="18">
        <f t="shared" si="14"/>
        <v>9</v>
      </c>
      <c r="AM4" s="18">
        <f t="shared" ref="AM4:BS4" si="15">COUNTIFS(AM$19:AM$75,"=1",$C$19:$C$75,"A",$D$19:$D$75,"5.2",$E$19:$E$75,"Lomitas",$F$19:$F$75,"Mar")</f>
        <v>9</v>
      </c>
      <c r="AN4" s="18">
        <f t="shared" si="15"/>
        <v>9</v>
      </c>
      <c r="AO4" s="18">
        <f t="shared" si="15"/>
        <v>9</v>
      </c>
      <c r="AP4" s="18">
        <f t="shared" si="15"/>
        <v>9</v>
      </c>
      <c r="AQ4" s="18">
        <f t="shared" si="15"/>
        <v>9</v>
      </c>
      <c r="AR4" s="18">
        <f t="shared" si="15"/>
        <v>9</v>
      </c>
      <c r="AS4" s="18">
        <f t="shared" si="15"/>
        <v>9</v>
      </c>
      <c r="AT4" s="18">
        <f t="shared" si="15"/>
        <v>9</v>
      </c>
      <c r="AU4" s="18">
        <f t="shared" si="15"/>
        <v>9</v>
      </c>
      <c r="AV4" s="18">
        <f t="shared" si="15"/>
        <v>9</v>
      </c>
      <c r="AW4" s="18">
        <f t="shared" si="15"/>
        <v>9</v>
      </c>
      <c r="AX4" s="18">
        <f t="shared" si="15"/>
        <v>9</v>
      </c>
      <c r="AY4" s="18">
        <f t="shared" si="15"/>
        <v>9</v>
      </c>
      <c r="AZ4" s="18">
        <f t="shared" si="15"/>
        <v>9</v>
      </c>
      <c r="BA4" s="18">
        <f t="shared" si="15"/>
        <v>11</v>
      </c>
      <c r="BB4" s="18">
        <f t="shared" si="15"/>
        <v>11</v>
      </c>
      <c r="BC4" s="18">
        <f t="shared" si="15"/>
        <v>11</v>
      </c>
      <c r="BD4" s="18">
        <f t="shared" si="15"/>
        <v>11</v>
      </c>
      <c r="BE4" s="18">
        <f t="shared" si="15"/>
        <v>11</v>
      </c>
      <c r="BF4" s="18">
        <f t="shared" si="15"/>
        <v>11</v>
      </c>
      <c r="BG4" s="18">
        <f t="shared" si="15"/>
        <v>11</v>
      </c>
      <c r="BH4" s="18">
        <f t="shared" si="15"/>
        <v>11</v>
      </c>
      <c r="BI4" s="18">
        <f t="shared" si="15"/>
        <v>11</v>
      </c>
      <c r="BJ4" s="18">
        <f t="shared" si="15"/>
        <v>11</v>
      </c>
      <c r="BK4" s="18">
        <f t="shared" si="15"/>
        <v>11</v>
      </c>
      <c r="BL4" s="18">
        <f t="shared" si="15"/>
        <v>12</v>
      </c>
      <c r="BM4" s="18">
        <f t="shared" si="15"/>
        <v>12</v>
      </c>
      <c r="BN4" s="18">
        <f t="shared" si="15"/>
        <v>12</v>
      </c>
      <c r="BO4" s="18">
        <f t="shared" si="15"/>
        <v>12</v>
      </c>
      <c r="BP4" s="18">
        <f t="shared" si="15"/>
        <v>12</v>
      </c>
      <c r="BQ4" s="18">
        <f t="shared" si="15"/>
        <v>12</v>
      </c>
      <c r="BR4" s="18">
        <f t="shared" si="15"/>
        <v>12</v>
      </c>
      <c r="BS4" s="18">
        <f t="shared" si="15"/>
        <v>12</v>
      </c>
      <c r="BT4" s="18">
        <f t="shared" ref="BT4:EE4" si="16">COUNTIFS(BT$19:BT$75,"=1",$C$19:$C$75,"A",$D$19:$D$75,"5.2",$E$19:$E$75,"Lomitas",$F$19:$F$75,"Mar")</f>
        <v>12</v>
      </c>
      <c r="BU4" s="18">
        <f t="shared" si="16"/>
        <v>12</v>
      </c>
      <c r="BV4" s="18">
        <f t="shared" si="16"/>
        <v>12</v>
      </c>
      <c r="BW4" s="18">
        <f t="shared" si="16"/>
        <v>12</v>
      </c>
      <c r="BX4" s="18">
        <f t="shared" si="16"/>
        <v>12</v>
      </c>
      <c r="BY4" s="18">
        <f t="shared" si="16"/>
        <v>11</v>
      </c>
      <c r="BZ4" s="18">
        <f t="shared" si="16"/>
        <v>11</v>
      </c>
      <c r="CA4" s="18">
        <f t="shared" si="16"/>
        <v>11</v>
      </c>
      <c r="CB4" s="18">
        <f t="shared" si="16"/>
        <v>11</v>
      </c>
      <c r="CC4" s="18">
        <f t="shared" si="16"/>
        <v>11</v>
      </c>
      <c r="CD4" s="18">
        <f t="shared" si="16"/>
        <v>11</v>
      </c>
      <c r="CE4" s="18">
        <f t="shared" si="16"/>
        <v>11</v>
      </c>
      <c r="CF4" s="18">
        <f t="shared" si="16"/>
        <v>11</v>
      </c>
      <c r="CG4" s="18">
        <f t="shared" si="16"/>
        <v>11</v>
      </c>
      <c r="CH4" s="18">
        <f t="shared" si="16"/>
        <v>11</v>
      </c>
      <c r="CI4" s="18">
        <f t="shared" si="16"/>
        <v>11</v>
      </c>
      <c r="CJ4" s="18">
        <f t="shared" si="16"/>
        <v>12</v>
      </c>
      <c r="CK4" s="18">
        <f t="shared" si="16"/>
        <v>12</v>
      </c>
      <c r="CL4" s="18">
        <f t="shared" si="16"/>
        <v>12</v>
      </c>
      <c r="CM4" s="18">
        <f t="shared" si="16"/>
        <v>12</v>
      </c>
      <c r="CN4" s="18">
        <f t="shared" si="16"/>
        <v>12</v>
      </c>
      <c r="CO4" s="18">
        <f t="shared" si="16"/>
        <v>12</v>
      </c>
      <c r="CP4" s="18">
        <f t="shared" si="16"/>
        <v>12</v>
      </c>
      <c r="CQ4" s="18">
        <f t="shared" si="16"/>
        <v>12</v>
      </c>
      <c r="CR4" s="18">
        <f t="shared" si="16"/>
        <v>12</v>
      </c>
      <c r="CS4" s="18">
        <f t="shared" si="16"/>
        <v>12</v>
      </c>
      <c r="CT4" s="18">
        <f t="shared" si="16"/>
        <v>12</v>
      </c>
      <c r="CU4" s="18">
        <f t="shared" si="16"/>
        <v>12</v>
      </c>
      <c r="CV4" s="18">
        <f t="shared" si="16"/>
        <v>12</v>
      </c>
      <c r="CW4" s="18">
        <f t="shared" si="16"/>
        <v>11</v>
      </c>
      <c r="CX4" s="18">
        <f t="shared" si="16"/>
        <v>11</v>
      </c>
      <c r="CY4" s="18">
        <f t="shared" si="16"/>
        <v>11</v>
      </c>
      <c r="CZ4" s="18">
        <f t="shared" si="16"/>
        <v>11</v>
      </c>
      <c r="DA4" s="18">
        <f t="shared" si="16"/>
        <v>11</v>
      </c>
      <c r="DB4" s="18">
        <f t="shared" si="16"/>
        <v>11</v>
      </c>
      <c r="DC4" s="18">
        <f t="shared" si="16"/>
        <v>11</v>
      </c>
      <c r="DD4" s="18">
        <f t="shared" si="16"/>
        <v>11</v>
      </c>
      <c r="DE4" s="18">
        <f t="shared" si="16"/>
        <v>11</v>
      </c>
      <c r="DF4" s="18">
        <f t="shared" si="16"/>
        <v>11</v>
      </c>
      <c r="DG4" s="18">
        <f t="shared" si="16"/>
        <v>11</v>
      </c>
      <c r="DH4" s="18">
        <f t="shared" si="16"/>
        <v>12</v>
      </c>
      <c r="DI4" s="18">
        <f t="shared" si="16"/>
        <v>12</v>
      </c>
      <c r="DJ4" s="18">
        <f t="shared" si="16"/>
        <v>12</v>
      </c>
      <c r="DK4" s="18">
        <f t="shared" si="16"/>
        <v>12</v>
      </c>
      <c r="DL4" s="18">
        <f t="shared" si="16"/>
        <v>12</v>
      </c>
      <c r="DM4" s="18">
        <f t="shared" si="16"/>
        <v>12</v>
      </c>
      <c r="DN4" s="18">
        <f t="shared" si="16"/>
        <v>12</v>
      </c>
      <c r="DO4" s="18">
        <f t="shared" si="16"/>
        <v>12</v>
      </c>
      <c r="DP4" s="18">
        <f t="shared" si="16"/>
        <v>12</v>
      </c>
      <c r="DQ4" s="18">
        <f t="shared" si="16"/>
        <v>12</v>
      </c>
      <c r="DR4" s="18">
        <f t="shared" si="16"/>
        <v>12</v>
      </c>
      <c r="DS4" s="18">
        <f t="shared" si="16"/>
        <v>12</v>
      </c>
      <c r="DT4" s="18">
        <f t="shared" si="16"/>
        <v>12</v>
      </c>
      <c r="DU4" s="18">
        <f t="shared" si="16"/>
        <v>11</v>
      </c>
      <c r="DV4" s="18">
        <f t="shared" si="16"/>
        <v>11</v>
      </c>
      <c r="DW4" s="18">
        <f t="shared" si="16"/>
        <v>11</v>
      </c>
      <c r="DX4" s="18">
        <f t="shared" si="16"/>
        <v>11</v>
      </c>
      <c r="DY4" s="18">
        <f t="shared" si="16"/>
        <v>11</v>
      </c>
      <c r="DZ4" s="18">
        <f t="shared" si="16"/>
        <v>11</v>
      </c>
      <c r="EA4" s="18">
        <f t="shared" si="16"/>
        <v>11</v>
      </c>
      <c r="EB4" s="18">
        <f t="shared" si="16"/>
        <v>11</v>
      </c>
      <c r="EC4" s="18">
        <f t="shared" si="16"/>
        <v>11</v>
      </c>
      <c r="ED4" s="18">
        <f t="shared" si="16"/>
        <v>11</v>
      </c>
      <c r="EE4" s="18">
        <f t="shared" si="16"/>
        <v>11</v>
      </c>
      <c r="EF4" s="18">
        <f t="shared" ref="EF4:GQ4" si="17">COUNTIFS(EF$19:EF$75,"=1",$C$19:$C$75,"A",$D$19:$D$75,"5.2",$E$19:$E$75,"Lomitas",$F$19:$F$75,"Mar")</f>
        <v>12</v>
      </c>
      <c r="EG4" s="18">
        <f t="shared" si="17"/>
        <v>12</v>
      </c>
      <c r="EH4" s="18">
        <f t="shared" si="17"/>
        <v>12</v>
      </c>
      <c r="EI4" s="18">
        <f t="shared" si="17"/>
        <v>12</v>
      </c>
      <c r="EJ4" s="18">
        <f t="shared" si="17"/>
        <v>12</v>
      </c>
      <c r="EK4" s="18">
        <f t="shared" si="17"/>
        <v>12</v>
      </c>
      <c r="EL4" s="18">
        <f t="shared" si="17"/>
        <v>12</v>
      </c>
      <c r="EM4" s="18">
        <f t="shared" si="17"/>
        <v>12</v>
      </c>
      <c r="EN4" s="18">
        <f t="shared" si="17"/>
        <v>12</v>
      </c>
      <c r="EO4" s="18">
        <f t="shared" si="17"/>
        <v>12</v>
      </c>
      <c r="EP4" s="18">
        <f t="shared" si="17"/>
        <v>12</v>
      </c>
      <c r="EQ4" s="18">
        <f t="shared" si="17"/>
        <v>12</v>
      </c>
      <c r="ER4" s="18">
        <f t="shared" si="17"/>
        <v>12</v>
      </c>
      <c r="ES4" s="18">
        <f t="shared" si="17"/>
        <v>11</v>
      </c>
      <c r="ET4" s="18">
        <f t="shared" si="17"/>
        <v>11</v>
      </c>
      <c r="EU4" s="18">
        <f t="shared" si="17"/>
        <v>11</v>
      </c>
      <c r="EV4" s="18">
        <f t="shared" si="17"/>
        <v>11</v>
      </c>
      <c r="EW4" s="18">
        <f t="shared" si="17"/>
        <v>11</v>
      </c>
      <c r="EX4" s="18">
        <f t="shared" si="17"/>
        <v>11</v>
      </c>
      <c r="EY4" s="18">
        <f t="shared" si="17"/>
        <v>11</v>
      </c>
      <c r="EZ4" s="18">
        <f t="shared" si="17"/>
        <v>11</v>
      </c>
      <c r="FA4" s="18">
        <f t="shared" si="17"/>
        <v>11</v>
      </c>
      <c r="FB4" s="18">
        <f t="shared" si="17"/>
        <v>11</v>
      </c>
      <c r="FC4" s="18">
        <f t="shared" si="17"/>
        <v>11</v>
      </c>
      <c r="FD4" s="18">
        <f t="shared" si="17"/>
        <v>12</v>
      </c>
      <c r="FE4" s="18">
        <f t="shared" si="17"/>
        <v>12</v>
      </c>
      <c r="FF4" s="18">
        <f t="shared" si="17"/>
        <v>12</v>
      </c>
      <c r="FG4" s="18">
        <f t="shared" si="17"/>
        <v>12</v>
      </c>
      <c r="FH4" s="18">
        <f t="shared" si="17"/>
        <v>12</v>
      </c>
      <c r="FI4" s="18">
        <f t="shared" si="17"/>
        <v>12</v>
      </c>
      <c r="FJ4" s="18">
        <f t="shared" si="17"/>
        <v>12</v>
      </c>
      <c r="FK4" s="18">
        <f t="shared" si="17"/>
        <v>12</v>
      </c>
      <c r="FL4" s="18">
        <f t="shared" si="17"/>
        <v>12</v>
      </c>
      <c r="FM4" s="18">
        <f t="shared" si="17"/>
        <v>12</v>
      </c>
      <c r="FN4" s="18">
        <f t="shared" si="17"/>
        <v>12</v>
      </c>
      <c r="FO4" s="18">
        <f t="shared" si="17"/>
        <v>12</v>
      </c>
      <c r="FP4" s="18">
        <f t="shared" si="17"/>
        <v>12</v>
      </c>
      <c r="FQ4" s="18">
        <f t="shared" si="17"/>
        <v>11</v>
      </c>
      <c r="FR4" s="18">
        <f t="shared" si="17"/>
        <v>11</v>
      </c>
      <c r="FS4" s="18">
        <f t="shared" si="17"/>
        <v>11</v>
      </c>
      <c r="FT4" s="18">
        <f t="shared" si="17"/>
        <v>11</v>
      </c>
      <c r="FU4" s="18">
        <f t="shared" si="17"/>
        <v>11</v>
      </c>
      <c r="FV4" s="18">
        <f t="shared" si="17"/>
        <v>11</v>
      </c>
      <c r="FW4" s="18">
        <f t="shared" si="17"/>
        <v>11</v>
      </c>
      <c r="FX4" s="18">
        <f t="shared" si="17"/>
        <v>11</v>
      </c>
      <c r="FY4" s="18">
        <f t="shared" si="17"/>
        <v>11</v>
      </c>
      <c r="FZ4" s="18">
        <f t="shared" si="17"/>
        <v>11</v>
      </c>
      <c r="GA4" s="18">
        <f t="shared" si="17"/>
        <v>11</v>
      </c>
      <c r="GB4" s="18">
        <f t="shared" si="17"/>
        <v>12</v>
      </c>
      <c r="GC4" s="18">
        <f t="shared" si="17"/>
        <v>12</v>
      </c>
      <c r="GD4" s="18">
        <f t="shared" si="17"/>
        <v>12</v>
      </c>
      <c r="GE4" s="18">
        <f t="shared" si="17"/>
        <v>12</v>
      </c>
      <c r="GF4" s="18">
        <f t="shared" si="17"/>
        <v>12</v>
      </c>
      <c r="GG4" s="18">
        <f t="shared" si="17"/>
        <v>12</v>
      </c>
      <c r="GH4" s="18">
        <f t="shared" si="17"/>
        <v>12</v>
      </c>
      <c r="GI4" s="18">
        <f t="shared" si="17"/>
        <v>12</v>
      </c>
      <c r="GJ4" s="18">
        <f t="shared" si="17"/>
        <v>12</v>
      </c>
      <c r="GK4" s="18">
        <f t="shared" si="17"/>
        <v>12</v>
      </c>
      <c r="GL4" s="18">
        <f t="shared" si="17"/>
        <v>12</v>
      </c>
      <c r="GM4" s="18">
        <f t="shared" si="17"/>
        <v>12</v>
      </c>
      <c r="GN4" s="18">
        <f t="shared" si="17"/>
        <v>12</v>
      </c>
      <c r="GO4" s="18">
        <f t="shared" si="17"/>
        <v>11</v>
      </c>
      <c r="GP4" s="18">
        <f t="shared" si="17"/>
        <v>11</v>
      </c>
      <c r="GQ4" s="18">
        <f t="shared" si="17"/>
        <v>11</v>
      </c>
      <c r="GR4" s="18">
        <f t="shared" ref="GR4:HX4" si="18">COUNTIFS(GR$19:GR$75,"=1",$C$19:$C$75,"A",$D$19:$D$75,"5.2",$E$19:$E$75,"Lomitas",$F$19:$F$75,"Mar")</f>
        <v>11</v>
      </c>
      <c r="GS4" s="18">
        <f t="shared" si="18"/>
        <v>11</v>
      </c>
      <c r="GT4" s="18">
        <f t="shared" si="18"/>
        <v>11</v>
      </c>
      <c r="GU4" s="18">
        <f t="shared" si="18"/>
        <v>11</v>
      </c>
      <c r="GV4" s="18">
        <f t="shared" si="18"/>
        <v>11</v>
      </c>
      <c r="GW4" s="18">
        <f t="shared" si="18"/>
        <v>11</v>
      </c>
      <c r="GX4" s="18">
        <f t="shared" si="18"/>
        <v>11</v>
      </c>
      <c r="GY4" s="18">
        <f t="shared" si="18"/>
        <v>11</v>
      </c>
      <c r="GZ4" s="18">
        <f t="shared" si="18"/>
        <v>12</v>
      </c>
      <c r="HA4" s="18">
        <f t="shared" si="18"/>
        <v>12</v>
      </c>
      <c r="HB4" s="18">
        <f t="shared" si="18"/>
        <v>12</v>
      </c>
      <c r="HC4" s="18">
        <f t="shared" si="18"/>
        <v>12</v>
      </c>
      <c r="HD4" s="18">
        <f t="shared" si="18"/>
        <v>12</v>
      </c>
      <c r="HE4" s="18">
        <f t="shared" si="18"/>
        <v>12</v>
      </c>
      <c r="HF4" s="18">
        <f t="shared" si="18"/>
        <v>12</v>
      </c>
      <c r="HG4" s="18">
        <f t="shared" si="18"/>
        <v>12</v>
      </c>
      <c r="HH4" s="18">
        <f t="shared" si="18"/>
        <v>12</v>
      </c>
      <c r="HI4" s="18">
        <f t="shared" si="18"/>
        <v>12</v>
      </c>
      <c r="HJ4" s="18">
        <f t="shared" si="18"/>
        <v>12</v>
      </c>
      <c r="HK4" s="18">
        <f t="shared" si="18"/>
        <v>12</v>
      </c>
      <c r="HL4" s="18">
        <f t="shared" si="18"/>
        <v>12</v>
      </c>
      <c r="HM4" s="18">
        <f t="shared" si="18"/>
        <v>11</v>
      </c>
      <c r="HN4" s="18">
        <f t="shared" si="18"/>
        <v>11</v>
      </c>
      <c r="HO4" s="18">
        <f t="shared" si="18"/>
        <v>11</v>
      </c>
      <c r="HP4" s="18">
        <f t="shared" si="18"/>
        <v>11</v>
      </c>
      <c r="HQ4" s="18">
        <f t="shared" si="18"/>
        <v>11</v>
      </c>
      <c r="HR4" s="18">
        <f t="shared" si="18"/>
        <v>11</v>
      </c>
      <c r="HS4" s="18">
        <f t="shared" si="18"/>
        <v>11</v>
      </c>
      <c r="HT4" s="18">
        <f t="shared" si="18"/>
        <v>11</v>
      </c>
      <c r="HU4" s="18">
        <f t="shared" si="18"/>
        <v>11</v>
      </c>
      <c r="HV4" s="18">
        <f t="shared" si="18"/>
        <v>11</v>
      </c>
      <c r="HW4" s="18">
        <f t="shared" si="18"/>
        <v>11</v>
      </c>
      <c r="HX4" s="18">
        <f t="shared" si="18"/>
        <v>12</v>
      </c>
    </row>
    <row r="5" spans="1:232" hidden="1" x14ac:dyDescent="0.2">
      <c r="A5" s="71"/>
      <c r="B5" s="36"/>
      <c r="E5" s="18" t="s">
        <v>128</v>
      </c>
      <c r="F5" s="18" t="s">
        <v>133</v>
      </c>
      <c r="G5" s="18">
        <f t="shared" ref="G5:AL5" si="19">COUNTIFS(G$19:G$75,"=1",$C$19:$C$75,"A",$D$19:$D$75,"5.2",$E$19:$E$75,"Expansión",$F$19:$F$75,"Cerro")</f>
        <v>2</v>
      </c>
      <c r="H5" s="18">
        <f t="shared" si="19"/>
        <v>2</v>
      </c>
      <c r="I5" s="18">
        <f t="shared" si="19"/>
        <v>2</v>
      </c>
      <c r="J5" s="18">
        <f t="shared" si="19"/>
        <v>2</v>
      </c>
      <c r="K5" s="18">
        <f t="shared" si="19"/>
        <v>2</v>
      </c>
      <c r="L5" s="18">
        <f t="shared" si="19"/>
        <v>2</v>
      </c>
      <c r="M5" s="18">
        <f t="shared" si="19"/>
        <v>2</v>
      </c>
      <c r="N5" s="18">
        <f t="shared" si="19"/>
        <v>2</v>
      </c>
      <c r="O5" s="18">
        <f t="shared" si="19"/>
        <v>2</v>
      </c>
      <c r="P5" s="18">
        <f t="shared" si="19"/>
        <v>2</v>
      </c>
      <c r="Q5" s="18">
        <f t="shared" si="19"/>
        <v>2</v>
      </c>
      <c r="R5" s="18">
        <f t="shared" si="19"/>
        <v>2</v>
      </c>
      <c r="S5" s="18">
        <f t="shared" si="19"/>
        <v>2</v>
      </c>
      <c r="T5" s="18">
        <f t="shared" si="19"/>
        <v>2</v>
      </c>
      <c r="U5" s="18">
        <f t="shared" si="19"/>
        <v>2</v>
      </c>
      <c r="V5" s="18">
        <f t="shared" si="19"/>
        <v>2</v>
      </c>
      <c r="W5" s="18">
        <f t="shared" si="19"/>
        <v>2</v>
      </c>
      <c r="X5" s="18">
        <f t="shared" si="19"/>
        <v>2</v>
      </c>
      <c r="Y5" s="18">
        <f t="shared" si="19"/>
        <v>2</v>
      </c>
      <c r="Z5" s="18">
        <f t="shared" si="19"/>
        <v>2</v>
      </c>
      <c r="AA5" s="18">
        <f t="shared" si="19"/>
        <v>2</v>
      </c>
      <c r="AB5" s="18">
        <f t="shared" si="19"/>
        <v>2</v>
      </c>
      <c r="AC5" s="18">
        <f t="shared" si="19"/>
        <v>2</v>
      </c>
      <c r="AD5" s="18">
        <f t="shared" si="19"/>
        <v>2</v>
      </c>
      <c r="AE5" s="18">
        <f t="shared" si="19"/>
        <v>2</v>
      </c>
      <c r="AF5" s="18">
        <f t="shared" si="19"/>
        <v>2</v>
      </c>
      <c r="AG5" s="18">
        <f t="shared" si="19"/>
        <v>2</v>
      </c>
      <c r="AH5" s="18">
        <f t="shared" si="19"/>
        <v>2</v>
      </c>
      <c r="AI5" s="18">
        <f t="shared" si="19"/>
        <v>2</v>
      </c>
      <c r="AJ5" s="18">
        <f t="shared" si="19"/>
        <v>2</v>
      </c>
      <c r="AK5" s="18">
        <f t="shared" si="19"/>
        <v>2</v>
      </c>
      <c r="AL5" s="18">
        <f t="shared" si="19"/>
        <v>2</v>
      </c>
      <c r="AM5" s="18">
        <f t="shared" ref="AM5:BS5" si="20">COUNTIFS(AM$19:AM$75,"=1",$C$19:$C$75,"A",$D$19:$D$75,"5.2",$E$19:$E$75,"Expansión",$F$19:$F$75,"Cerro")</f>
        <v>2</v>
      </c>
      <c r="AN5" s="18">
        <f t="shared" si="20"/>
        <v>2</v>
      </c>
      <c r="AO5" s="18">
        <f t="shared" si="20"/>
        <v>2</v>
      </c>
      <c r="AP5" s="18">
        <f t="shared" si="20"/>
        <v>2</v>
      </c>
      <c r="AQ5" s="18">
        <f t="shared" si="20"/>
        <v>2</v>
      </c>
      <c r="AR5" s="18">
        <f t="shared" si="20"/>
        <v>2</v>
      </c>
      <c r="AS5" s="18">
        <f t="shared" si="20"/>
        <v>2</v>
      </c>
      <c r="AT5" s="18">
        <f t="shared" si="20"/>
        <v>2</v>
      </c>
      <c r="AU5" s="18">
        <f t="shared" si="20"/>
        <v>2</v>
      </c>
      <c r="AV5" s="18">
        <f t="shared" si="20"/>
        <v>2</v>
      </c>
      <c r="AW5" s="18">
        <f t="shared" si="20"/>
        <v>2</v>
      </c>
      <c r="AX5" s="18">
        <f t="shared" si="20"/>
        <v>2</v>
      </c>
      <c r="AY5" s="18">
        <f t="shared" si="20"/>
        <v>2</v>
      </c>
      <c r="AZ5" s="18">
        <f t="shared" si="20"/>
        <v>2</v>
      </c>
      <c r="BA5" s="18">
        <f t="shared" si="20"/>
        <v>1</v>
      </c>
      <c r="BB5" s="18">
        <f t="shared" si="20"/>
        <v>1</v>
      </c>
      <c r="BC5" s="18">
        <f t="shared" si="20"/>
        <v>1</v>
      </c>
      <c r="BD5" s="18">
        <f t="shared" si="20"/>
        <v>1</v>
      </c>
      <c r="BE5" s="18">
        <f t="shared" si="20"/>
        <v>1</v>
      </c>
      <c r="BF5" s="18">
        <f t="shared" si="20"/>
        <v>1</v>
      </c>
      <c r="BG5" s="18">
        <f t="shared" si="20"/>
        <v>1</v>
      </c>
      <c r="BH5" s="18">
        <f t="shared" si="20"/>
        <v>1</v>
      </c>
      <c r="BI5" s="18">
        <f t="shared" si="20"/>
        <v>1</v>
      </c>
      <c r="BJ5" s="18">
        <f t="shared" si="20"/>
        <v>1</v>
      </c>
      <c r="BK5" s="18">
        <f t="shared" si="20"/>
        <v>1</v>
      </c>
      <c r="BL5" s="18">
        <f t="shared" si="20"/>
        <v>1</v>
      </c>
      <c r="BM5" s="18">
        <f t="shared" si="20"/>
        <v>1</v>
      </c>
      <c r="BN5" s="18">
        <f t="shared" si="20"/>
        <v>1</v>
      </c>
      <c r="BO5" s="18">
        <f t="shared" si="20"/>
        <v>1</v>
      </c>
      <c r="BP5" s="18">
        <f t="shared" si="20"/>
        <v>1</v>
      </c>
      <c r="BQ5" s="18">
        <f t="shared" si="20"/>
        <v>1</v>
      </c>
      <c r="BR5" s="18">
        <f t="shared" si="20"/>
        <v>1</v>
      </c>
      <c r="BS5" s="18">
        <f t="shared" si="20"/>
        <v>1</v>
      </c>
      <c r="BT5" s="18">
        <f t="shared" ref="BT5:EE5" si="21">COUNTIFS(BT$19:BT$75,"=1",$C$19:$C$75,"A",$D$19:$D$75,"5.2",$E$19:$E$75,"Expansión",$F$19:$F$75,"Cerro")</f>
        <v>1</v>
      </c>
      <c r="BU5" s="18">
        <f t="shared" si="21"/>
        <v>1</v>
      </c>
      <c r="BV5" s="18">
        <f t="shared" si="21"/>
        <v>1</v>
      </c>
      <c r="BW5" s="18">
        <f t="shared" si="21"/>
        <v>1</v>
      </c>
      <c r="BX5" s="18">
        <f t="shared" si="21"/>
        <v>1</v>
      </c>
      <c r="BY5" s="18">
        <f t="shared" si="21"/>
        <v>1</v>
      </c>
      <c r="BZ5" s="18">
        <f t="shared" si="21"/>
        <v>1</v>
      </c>
      <c r="CA5" s="18">
        <f t="shared" si="21"/>
        <v>1</v>
      </c>
      <c r="CB5" s="18">
        <f t="shared" si="21"/>
        <v>1</v>
      </c>
      <c r="CC5" s="18">
        <f t="shared" si="21"/>
        <v>1</v>
      </c>
      <c r="CD5" s="18">
        <f t="shared" si="21"/>
        <v>1</v>
      </c>
      <c r="CE5" s="18">
        <f t="shared" si="21"/>
        <v>1</v>
      </c>
      <c r="CF5" s="18">
        <f t="shared" si="21"/>
        <v>1</v>
      </c>
      <c r="CG5" s="18">
        <f t="shared" si="21"/>
        <v>1</v>
      </c>
      <c r="CH5" s="18">
        <f t="shared" si="21"/>
        <v>1</v>
      </c>
      <c r="CI5" s="18">
        <f t="shared" si="21"/>
        <v>1</v>
      </c>
      <c r="CJ5" s="18">
        <f t="shared" si="21"/>
        <v>1</v>
      </c>
      <c r="CK5" s="18">
        <f t="shared" si="21"/>
        <v>1</v>
      </c>
      <c r="CL5" s="18">
        <f t="shared" si="21"/>
        <v>1</v>
      </c>
      <c r="CM5" s="18">
        <f t="shared" si="21"/>
        <v>1</v>
      </c>
      <c r="CN5" s="18">
        <f t="shared" si="21"/>
        <v>1</v>
      </c>
      <c r="CO5" s="18">
        <f t="shared" si="21"/>
        <v>1</v>
      </c>
      <c r="CP5" s="18">
        <f t="shared" si="21"/>
        <v>1</v>
      </c>
      <c r="CQ5" s="18">
        <f t="shared" si="21"/>
        <v>1</v>
      </c>
      <c r="CR5" s="18">
        <f t="shared" si="21"/>
        <v>1</v>
      </c>
      <c r="CS5" s="18">
        <f t="shared" si="21"/>
        <v>1</v>
      </c>
      <c r="CT5" s="18">
        <f t="shared" si="21"/>
        <v>1</v>
      </c>
      <c r="CU5" s="18">
        <f t="shared" si="21"/>
        <v>1</v>
      </c>
      <c r="CV5" s="18">
        <f t="shared" si="21"/>
        <v>1</v>
      </c>
      <c r="CW5" s="18">
        <f t="shared" si="21"/>
        <v>1</v>
      </c>
      <c r="CX5" s="18">
        <f t="shared" si="21"/>
        <v>1</v>
      </c>
      <c r="CY5" s="18">
        <f t="shared" si="21"/>
        <v>1</v>
      </c>
      <c r="CZ5" s="18">
        <f t="shared" si="21"/>
        <v>1</v>
      </c>
      <c r="DA5" s="18">
        <f t="shared" si="21"/>
        <v>1</v>
      </c>
      <c r="DB5" s="18">
        <f t="shared" si="21"/>
        <v>1</v>
      </c>
      <c r="DC5" s="18">
        <f t="shared" si="21"/>
        <v>1</v>
      </c>
      <c r="DD5" s="18">
        <f t="shared" si="21"/>
        <v>1</v>
      </c>
      <c r="DE5" s="18">
        <f t="shared" si="21"/>
        <v>1</v>
      </c>
      <c r="DF5" s="18">
        <f t="shared" si="21"/>
        <v>1</v>
      </c>
      <c r="DG5" s="18">
        <f t="shared" si="21"/>
        <v>1</v>
      </c>
      <c r="DH5" s="18">
        <f t="shared" si="21"/>
        <v>1</v>
      </c>
      <c r="DI5" s="18">
        <f t="shared" si="21"/>
        <v>1</v>
      </c>
      <c r="DJ5" s="18">
        <f t="shared" si="21"/>
        <v>1</v>
      </c>
      <c r="DK5" s="18">
        <f t="shared" si="21"/>
        <v>1</v>
      </c>
      <c r="DL5" s="18">
        <f t="shared" si="21"/>
        <v>1</v>
      </c>
      <c r="DM5" s="18">
        <f t="shared" si="21"/>
        <v>1</v>
      </c>
      <c r="DN5" s="18">
        <f t="shared" si="21"/>
        <v>1</v>
      </c>
      <c r="DO5" s="18">
        <f t="shared" si="21"/>
        <v>1</v>
      </c>
      <c r="DP5" s="18">
        <f t="shared" si="21"/>
        <v>1</v>
      </c>
      <c r="DQ5" s="18">
        <f t="shared" si="21"/>
        <v>1</v>
      </c>
      <c r="DR5" s="18">
        <f t="shared" si="21"/>
        <v>1</v>
      </c>
      <c r="DS5" s="18">
        <f t="shared" si="21"/>
        <v>1</v>
      </c>
      <c r="DT5" s="18">
        <f t="shared" si="21"/>
        <v>1</v>
      </c>
      <c r="DU5" s="18">
        <f t="shared" si="21"/>
        <v>1</v>
      </c>
      <c r="DV5" s="18">
        <f t="shared" si="21"/>
        <v>1</v>
      </c>
      <c r="DW5" s="18">
        <f t="shared" si="21"/>
        <v>1</v>
      </c>
      <c r="DX5" s="18">
        <f t="shared" si="21"/>
        <v>1</v>
      </c>
      <c r="DY5" s="18">
        <f t="shared" si="21"/>
        <v>1</v>
      </c>
      <c r="DZ5" s="18">
        <f t="shared" si="21"/>
        <v>1</v>
      </c>
      <c r="EA5" s="18">
        <f t="shared" si="21"/>
        <v>1</v>
      </c>
      <c r="EB5" s="18">
        <f t="shared" si="21"/>
        <v>1</v>
      </c>
      <c r="EC5" s="18">
        <f t="shared" si="21"/>
        <v>1</v>
      </c>
      <c r="ED5" s="18">
        <f t="shared" si="21"/>
        <v>1</v>
      </c>
      <c r="EE5" s="18">
        <f t="shared" si="21"/>
        <v>1</v>
      </c>
      <c r="EF5" s="18">
        <f t="shared" ref="EF5:GQ5" si="22">COUNTIFS(EF$19:EF$75,"=1",$C$19:$C$75,"A",$D$19:$D$75,"5.2",$E$19:$E$75,"Expansión",$F$19:$F$75,"Cerro")</f>
        <v>1</v>
      </c>
      <c r="EG5" s="18">
        <f t="shared" si="22"/>
        <v>1</v>
      </c>
      <c r="EH5" s="18">
        <f t="shared" si="22"/>
        <v>1</v>
      </c>
      <c r="EI5" s="18">
        <f t="shared" si="22"/>
        <v>1</v>
      </c>
      <c r="EJ5" s="18">
        <f t="shared" si="22"/>
        <v>1</v>
      </c>
      <c r="EK5" s="18">
        <f t="shared" si="22"/>
        <v>1</v>
      </c>
      <c r="EL5" s="18">
        <f t="shared" si="22"/>
        <v>1</v>
      </c>
      <c r="EM5" s="18">
        <f t="shared" si="22"/>
        <v>1</v>
      </c>
      <c r="EN5" s="18">
        <f t="shared" si="22"/>
        <v>1</v>
      </c>
      <c r="EO5" s="18">
        <f t="shared" si="22"/>
        <v>1</v>
      </c>
      <c r="EP5" s="18">
        <f t="shared" si="22"/>
        <v>1</v>
      </c>
      <c r="EQ5" s="18">
        <f t="shared" si="22"/>
        <v>1</v>
      </c>
      <c r="ER5" s="18">
        <f t="shared" si="22"/>
        <v>1</v>
      </c>
      <c r="ES5" s="18">
        <f t="shared" si="22"/>
        <v>1</v>
      </c>
      <c r="ET5" s="18">
        <f t="shared" si="22"/>
        <v>1</v>
      </c>
      <c r="EU5" s="18">
        <f t="shared" si="22"/>
        <v>1</v>
      </c>
      <c r="EV5" s="18">
        <f t="shared" si="22"/>
        <v>1</v>
      </c>
      <c r="EW5" s="18">
        <f t="shared" si="22"/>
        <v>1</v>
      </c>
      <c r="EX5" s="18">
        <f t="shared" si="22"/>
        <v>1</v>
      </c>
      <c r="EY5" s="18">
        <f t="shared" si="22"/>
        <v>1</v>
      </c>
      <c r="EZ5" s="18">
        <f t="shared" si="22"/>
        <v>1</v>
      </c>
      <c r="FA5" s="18">
        <f t="shared" si="22"/>
        <v>1</v>
      </c>
      <c r="FB5" s="18">
        <f t="shared" si="22"/>
        <v>1</v>
      </c>
      <c r="FC5" s="18">
        <f t="shared" si="22"/>
        <v>1</v>
      </c>
      <c r="FD5" s="18">
        <f t="shared" si="22"/>
        <v>1</v>
      </c>
      <c r="FE5" s="18">
        <f t="shared" si="22"/>
        <v>1</v>
      </c>
      <c r="FF5" s="18">
        <f t="shared" si="22"/>
        <v>1</v>
      </c>
      <c r="FG5" s="18">
        <f t="shared" si="22"/>
        <v>1</v>
      </c>
      <c r="FH5" s="18">
        <f t="shared" si="22"/>
        <v>1</v>
      </c>
      <c r="FI5" s="18">
        <f t="shared" si="22"/>
        <v>1</v>
      </c>
      <c r="FJ5" s="18">
        <f t="shared" si="22"/>
        <v>1</v>
      </c>
      <c r="FK5" s="18">
        <f t="shared" si="22"/>
        <v>1</v>
      </c>
      <c r="FL5" s="18">
        <f t="shared" si="22"/>
        <v>1</v>
      </c>
      <c r="FM5" s="18">
        <f t="shared" si="22"/>
        <v>1</v>
      </c>
      <c r="FN5" s="18">
        <f t="shared" si="22"/>
        <v>1</v>
      </c>
      <c r="FO5" s="18">
        <f t="shared" si="22"/>
        <v>1</v>
      </c>
      <c r="FP5" s="18">
        <f t="shared" si="22"/>
        <v>1</v>
      </c>
      <c r="FQ5" s="18">
        <f t="shared" si="22"/>
        <v>1</v>
      </c>
      <c r="FR5" s="18">
        <f t="shared" si="22"/>
        <v>1</v>
      </c>
      <c r="FS5" s="18">
        <f t="shared" si="22"/>
        <v>1</v>
      </c>
      <c r="FT5" s="18">
        <f t="shared" si="22"/>
        <v>1</v>
      </c>
      <c r="FU5" s="18">
        <f t="shared" si="22"/>
        <v>1</v>
      </c>
      <c r="FV5" s="18">
        <f t="shared" si="22"/>
        <v>1</v>
      </c>
      <c r="FW5" s="18">
        <f t="shared" si="22"/>
        <v>1</v>
      </c>
      <c r="FX5" s="18">
        <f t="shared" si="22"/>
        <v>1</v>
      </c>
      <c r="FY5" s="18">
        <f t="shared" si="22"/>
        <v>1</v>
      </c>
      <c r="FZ5" s="18">
        <f t="shared" si="22"/>
        <v>1</v>
      </c>
      <c r="GA5" s="18">
        <f t="shared" si="22"/>
        <v>1</v>
      </c>
      <c r="GB5" s="18">
        <f t="shared" si="22"/>
        <v>1</v>
      </c>
      <c r="GC5" s="18">
        <f t="shared" si="22"/>
        <v>1</v>
      </c>
      <c r="GD5" s="18">
        <f t="shared" si="22"/>
        <v>1</v>
      </c>
      <c r="GE5" s="18">
        <f t="shared" si="22"/>
        <v>1</v>
      </c>
      <c r="GF5" s="18">
        <f t="shared" si="22"/>
        <v>1</v>
      </c>
      <c r="GG5" s="18">
        <f t="shared" si="22"/>
        <v>1</v>
      </c>
      <c r="GH5" s="18">
        <f t="shared" si="22"/>
        <v>1</v>
      </c>
      <c r="GI5" s="18">
        <f t="shared" si="22"/>
        <v>1</v>
      </c>
      <c r="GJ5" s="18">
        <f t="shared" si="22"/>
        <v>1</v>
      </c>
      <c r="GK5" s="18">
        <f t="shared" si="22"/>
        <v>1</v>
      </c>
      <c r="GL5" s="18">
        <f t="shared" si="22"/>
        <v>1</v>
      </c>
      <c r="GM5" s="18">
        <f t="shared" si="22"/>
        <v>1</v>
      </c>
      <c r="GN5" s="18">
        <f t="shared" si="22"/>
        <v>1</v>
      </c>
      <c r="GO5" s="18">
        <f t="shared" si="22"/>
        <v>1</v>
      </c>
      <c r="GP5" s="18">
        <f t="shared" si="22"/>
        <v>1</v>
      </c>
      <c r="GQ5" s="18">
        <f t="shared" si="22"/>
        <v>1</v>
      </c>
      <c r="GR5" s="18">
        <f t="shared" ref="GR5:HX5" si="23">COUNTIFS(GR$19:GR$75,"=1",$C$19:$C$75,"A",$D$19:$D$75,"5.2",$E$19:$E$75,"Expansión",$F$19:$F$75,"Cerro")</f>
        <v>1</v>
      </c>
      <c r="GS5" s="18">
        <f t="shared" si="23"/>
        <v>1</v>
      </c>
      <c r="GT5" s="18">
        <f t="shared" si="23"/>
        <v>1</v>
      </c>
      <c r="GU5" s="18">
        <f t="shared" si="23"/>
        <v>1</v>
      </c>
      <c r="GV5" s="18">
        <f t="shared" si="23"/>
        <v>1</v>
      </c>
      <c r="GW5" s="18">
        <f t="shared" si="23"/>
        <v>1</v>
      </c>
      <c r="GX5" s="18">
        <f t="shared" si="23"/>
        <v>1</v>
      </c>
      <c r="GY5" s="18">
        <f t="shared" si="23"/>
        <v>1</v>
      </c>
      <c r="GZ5" s="18">
        <f t="shared" si="23"/>
        <v>1</v>
      </c>
      <c r="HA5" s="18">
        <f t="shared" si="23"/>
        <v>1</v>
      </c>
      <c r="HB5" s="18">
        <f t="shared" si="23"/>
        <v>1</v>
      </c>
      <c r="HC5" s="18">
        <f t="shared" si="23"/>
        <v>1</v>
      </c>
      <c r="HD5" s="18">
        <f t="shared" si="23"/>
        <v>1</v>
      </c>
      <c r="HE5" s="18">
        <f t="shared" si="23"/>
        <v>1</v>
      </c>
      <c r="HF5" s="18">
        <f t="shared" si="23"/>
        <v>1</v>
      </c>
      <c r="HG5" s="18">
        <f t="shared" si="23"/>
        <v>1</v>
      </c>
      <c r="HH5" s="18">
        <f t="shared" si="23"/>
        <v>1</v>
      </c>
      <c r="HI5" s="18">
        <f t="shared" si="23"/>
        <v>1</v>
      </c>
      <c r="HJ5" s="18">
        <f t="shared" si="23"/>
        <v>1</v>
      </c>
      <c r="HK5" s="18">
        <f t="shared" si="23"/>
        <v>1</v>
      </c>
      <c r="HL5" s="18">
        <f t="shared" si="23"/>
        <v>1</v>
      </c>
      <c r="HM5" s="18">
        <f t="shared" si="23"/>
        <v>1</v>
      </c>
      <c r="HN5" s="18">
        <f t="shared" si="23"/>
        <v>1</v>
      </c>
      <c r="HO5" s="18">
        <f t="shared" si="23"/>
        <v>1</v>
      </c>
      <c r="HP5" s="18">
        <f t="shared" si="23"/>
        <v>1</v>
      </c>
      <c r="HQ5" s="18">
        <f t="shared" si="23"/>
        <v>1</v>
      </c>
      <c r="HR5" s="18">
        <f t="shared" si="23"/>
        <v>1</v>
      </c>
      <c r="HS5" s="18">
        <f t="shared" si="23"/>
        <v>1</v>
      </c>
      <c r="HT5" s="18">
        <f t="shared" si="23"/>
        <v>1</v>
      </c>
      <c r="HU5" s="18">
        <f t="shared" si="23"/>
        <v>1</v>
      </c>
      <c r="HV5" s="18">
        <f t="shared" si="23"/>
        <v>1</v>
      </c>
      <c r="HW5" s="18">
        <f t="shared" si="23"/>
        <v>1</v>
      </c>
      <c r="HX5" s="18">
        <f t="shared" si="23"/>
        <v>1</v>
      </c>
    </row>
    <row r="6" spans="1:232" hidden="1" x14ac:dyDescent="0.2">
      <c r="A6" s="71"/>
      <c r="B6" s="36"/>
      <c r="E6" s="18" t="s">
        <v>128</v>
      </c>
      <c r="F6" s="18" t="s">
        <v>134</v>
      </c>
      <c r="G6" s="18">
        <f>COUNTIFS(G$19:G$75,"=1",$C$19:$C$75,"A",$D$19:$D$75,"5.2",$E$19:$E$75,"Expansión",$F$19:$F$75,"Medio")</f>
        <v>1</v>
      </c>
      <c r="H6" s="18">
        <f t="shared" ref="H6:BS6" si="24">COUNTIFS(H$19:H$75,"=1",$C$19:$C$75,"A",$D$19:$D$75,"5.2",$E$19:$E$75,"Expansión",$F$19:$F$75,"Medio")</f>
        <v>1</v>
      </c>
      <c r="I6" s="18">
        <f t="shared" si="24"/>
        <v>1</v>
      </c>
      <c r="J6" s="18">
        <f t="shared" si="24"/>
        <v>1</v>
      </c>
      <c r="K6" s="18">
        <f t="shared" si="24"/>
        <v>1</v>
      </c>
      <c r="L6" s="18">
        <f t="shared" si="24"/>
        <v>1</v>
      </c>
      <c r="M6" s="18">
        <f t="shared" si="24"/>
        <v>1</v>
      </c>
      <c r="N6" s="18">
        <f t="shared" si="24"/>
        <v>1</v>
      </c>
      <c r="O6" s="18">
        <f t="shared" si="24"/>
        <v>1</v>
      </c>
      <c r="P6" s="18">
        <f t="shared" si="24"/>
        <v>1</v>
      </c>
      <c r="Q6" s="18">
        <f t="shared" si="24"/>
        <v>1</v>
      </c>
      <c r="R6" s="18">
        <f t="shared" si="24"/>
        <v>1</v>
      </c>
      <c r="S6" s="18">
        <f t="shared" si="24"/>
        <v>1</v>
      </c>
      <c r="T6" s="18">
        <f t="shared" si="24"/>
        <v>1</v>
      </c>
      <c r="U6" s="18">
        <f t="shared" si="24"/>
        <v>1</v>
      </c>
      <c r="V6" s="18">
        <f t="shared" si="24"/>
        <v>1</v>
      </c>
      <c r="W6" s="18">
        <f t="shared" si="24"/>
        <v>1</v>
      </c>
      <c r="X6" s="18">
        <f t="shared" si="24"/>
        <v>1</v>
      </c>
      <c r="Y6" s="18">
        <f t="shared" si="24"/>
        <v>1</v>
      </c>
      <c r="Z6" s="18">
        <f t="shared" si="24"/>
        <v>1</v>
      </c>
      <c r="AA6" s="18">
        <f t="shared" si="24"/>
        <v>1</v>
      </c>
      <c r="AB6" s="18">
        <f t="shared" si="24"/>
        <v>1</v>
      </c>
      <c r="AC6" s="18">
        <f t="shared" si="24"/>
        <v>1</v>
      </c>
      <c r="AD6" s="18">
        <f t="shared" si="24"/>
        <v>1</v>
      </c>
      <c r="AE6" s="18">
        <f t="shared" si="24"/>
        <v>1</v>
      </c>
      <c r="AF6" s="18">
        <f t="shared" si="24"/>
        <v>1</v>
      </c>
      <c r="AG6" s="18">
        <f t="shared" si="24"/>
        <v>1</v>
      </c>
      <c r="AH6" s="18">
        <f t="shared" si="24"/>
        <v>1</v>
      </c>
      <c r="AI6" s="18">
        <f t="shared" si="24"/>
        <v>1</v>
      </c>
      <c r="AJ6" s="18">
        <f t="shared" si="24"/>
        <v>1</v>
      </c>
      <c r="AK6" s="18">
        <f t="shared" si="24"/>
        <v>1</v>
      </c>
      <c r="AL6" s="18">
        <f t="shared" si="24"/>
        <v>1</v>
      </c>
      <c r="AM6" s="18">
        <f t="shared" si="24"/>
        <v>1</v>
      </c>
      <c r="AN6" s="18">
        <f t="shared" si="24"/>
        <v>1</v>
      </c>
      <c r="AO6" s="18">
        <f t="shared" si="24"/>
        <v>1</v>
      </c>
      <c r="AP6" s="18">
        <f t="shared" si="24"/>
        <v>1</v>
      </c>
      <c r="AQ6" s="18">
        <f t="shared" si="24"/>
        <v>1</v>
      </c>
      <c r="AR6" s="18">
        <f t="shared" si="24"/>
        <v>1</v>
      </c>
      <c r="AS6" s="18">
        <f t="shared" si="24"/>
        <v>1</v>
      </c>
      <c r="AT6" s="18">
        <f t="shared" si="24"/>
        <v>1</v>
      </c>
      <c r="AU6" s="18">
        <f t="shared" si="24"/>
        <v>1</v>
      </c>
      <c r="AV6" s="18">
        <f t="shared" si="24"/>
        <v>1</v>
      </c>
      <c r="AW6" s="18">
        <f t="shared" si="24"/>
        <v>1</v>
      </c>
      <c r="AX6" s="18">
        <f t="shared" si="24"/>
        <v>1</v>
      </c>
      <c r="AY6" s="18">
        <f t="shared" si="24"/>
        <v>1</v>
      </c>
      <c r="AZ6" s="18">
        <f t="shared" si="24"/>
        <v>1</v>
      </c>
      <c r="BA6" s="18">
        <f t="shared" si="24"/>
        <v>1</v>
      </c>
      <c r="BB6" s="18">
        <f t="shared" si="24"/>
        <v>1</v>
      </c>
      <c r="BC6" s="18">
        <f t="shared" si="24"/>
        <v>1</v>
      </c>
      <c r="BD6" s="18">
        <f t="shared" si="24"/>
        <v>1</v>
      </c>
      <c r="BE6" s="18">
        <f t="shared" si="24"/>
        <v>1</v>
      </c>
      <c r="BF6" s="18">
        <f t="shared" si="24"/>
        <v>1</v>
      </c>
      <c r="BG6" s="18">
        <f t="shared" si="24"/>
        <v>1</v>
      </c>
      <c r="BH6" s="18">
        <f t="shared" si="24"/>
        <v>1</v>
      </c>
      <c r="BI6" s="18">
        <f t="shared" si="24"/>
        <v>1</v>
      </c>
      <c r="BJ6" s="18">
        <f t="shared" si="24"/>
        <v>1</v>
      </c>
      <c r="BK6" s="18">
        <f t="shared" si="24"/>
        <v>1</v>
      </c>
      <c r="BL6" s="18">
        <f t="shared" si="24"/>
        <v>1</v>
      </c>
      <c r="BM6" s="18">
        <f t="shared" si="24"/>
        <v>1</v>
      </c>
      <c r="BN6" s="18">
        <f t="shared" si="24"/>
        <v>1</v>
      </c>
      <c r="BO6" s="18">
        <f t="shared" si="24"/>
        <v>1</v>
      </c>
      <c r="BP6" s="18">
        <f t="shared" si="24"/>
        <v>1</v>
      </c>
      <c r="BQ6" s="18">
        <f t="shared" si="24"/>
        <v>1</v>
      </c>
      <c r="BR6" s="18">
        <f t="shared" si="24"/>
        <v>1</v>
      </c>
      <c r="BS6" s="18">
        <f t="shared" si="24"/>
        <v>1</v>
      </c>
      <c r="BT6" s="18">
        <f t="shared" ref="BT6:EE6" si="25">COUNTIFS(BT$19:BT$75,"=1",$C$19:$C$75,"A",$D$19:$D$75,"5.2",$E$19:$E$75,"Expansión",$F$19:$F$75,"Medio")</f>
        <v>1</v>
      </c>
      <c r="BU6" s="18">
        <f t="shared" si="25"/>
        <v>1</v>
      </c>
      <c r="BV6" s="18">
        <f t="shared" si="25"/>
        <v>1</v>
      </c>
      <c r="BW6" s="18">
        <f t="shared" si="25"/>
        <v>1</v>
      </c>
      <c r="BX6" s="18">
        <f t="shared" si="25"/>
        <v>1</v>
      </c>
      <c r="BY6" s="18">
        <f t="shared" si="25"/>
        <v>1</v>
      </c>
      <c r="BZ6" s="18">
        <f t="shared" si="25"/>
        <v>1</v>
      </c>
      <c r="CA6" s="18">
        <f t="shared" si="25"/>
        <v>1</v>
      </c>
      <c r="CB6" s="18">
        <f t="shared" si="25"/>
        <v>1</v>
      </c>
      <c r="CC6" s="18">
        <f t="shared" si="25"/>
        <v>1</v>
      </c>
      <c r="CD6" s="18">
        <f t="shared" si="25"/>
        <v>1</v>
      </c>
      <c r="CE6" s="18">
        <f t="shared" si="25"/>
        <v>1</v>
      </c>
      <c r="CF6" s="18">
        <f t="shared" si="25"/>
        <v>1</v>
      </c>
      <c r="CG6" s="18">
        <f t="shared" si="25"/>
        <v>1</v>
      </c>
      <c r="CH6" s="18">
        <f t="shared" si="25"/>
        <v>1</v>
      </c>
      <c r="CI6" s="18">
        <f t="shared" si="25"/>
        <v>1</v>
      </c>
      <c r="CJ6" s="18">
        <f t="shared" si="25"/>
        <v>1</v>
      </c>
      <c r="CK6" s="18">
        <f t="shared" si="25"/>
        <v>1</v>
      </c>
      <c r="CL6" s="18">
        <f t="shared" si="25"/>
        <v>1</v>
      </c>
      <c r="CM6" s="18">
        <f t="shared" si="25"/>
        <v>1</v>
      </c>
      <c r="CN6" s="18">
        <f t="shared" si="25"/>
        <v>1</v>
      </c>
      <c r="CO6" s="18">
        <f t="shared" si="25"/>
        <v>1</v>
      </c>
      <c r="CP6" s="18">
        <f t="shared" si="25"/>
        <v>1</v>
      </c>
      <c r="CQ6" s="18">
        <f t="shared" si="25"/>
        <v>1</v>
      </c>
      <c r="CR6" s="18">
        <f t="shared" si="25"/>
        <v>1</v>
      </c>
      <c r="CS6" s="18">
        <f t="shared" si="25"/>
        <v>1</v>
      </c>
      <c r="CT6" s="18">
        <f t="shared" si="25"/>
        <v>1</v>
      </c>
      <c r="CU6" s="18">
        <f t="shared" si="25"/>
        <v>1</v>
      </c>
      <c r="CV6" s="18">
        <f t="shared" si="25"/>
        <v>1</v>
      </c>
      <c r="CW6" s="18">
        <f t="shared" si="25"/>
        <v>1</v>
      </c>
      <c r="CX6" s="18">
        <f t="shared" si="25"/>
        <v>1</v>
      </c>
      <c r="CY6" s="18">
        <f t="shared" si="25"/>
        <v>1</v>
      </c>
      <c r="CZ6" s="18">
        <f t="shared" si="25"/>
        <v>1</v>
      </c>
      <c r="DA6" s="18">
        <f t="shared" si="25"/>
        <v>1</v>
      </c>
      <c r="DB6" s="18">
        <f t="shared" si="25"/>
        <v>1</v>
      </c>
      <c r="DC6" s="18">
        <f t="shared" si="25"/>
        <v>1</v>
      </c>
      <c r="DD6" s="18">
        <f t="shared" si="25"/>
        <v>1</v>
      </c>
      <c r="DE6" s="18">
        <f t="shared" si="25"/>
        <v>1</v>
      </c>
      <c r="DF6" s="18">
        <f t="shared" si="25"/>
        <v>1</v>
      </c>
      <c r="DG6" s="18">
        <f t="shared" si="25"/>
        <v>1</v>
      </c>
      <c r="DH6" s="18">
        <f t="shared" si="25"/>
        <v>1</v>
      </c>
      <c r="DI6" s="18">
        <f t="shared" si="25"/>
        <v>1</v>
      </c>
      <c r="DJ6" s="18">
        <f t="shared" si="25"/>
        <v>1</v>
      </c>
      <c r="DK6" s="18">
        <f t="shared" si="25"/>
        <v>1</v>
      </c>
      <c r="DL6" s="18">
        <f t="shared" si="25"/>
        <v>1</v>
      </c>
      <c r="DM6" s="18">
        <f t="shared" si="25"/>
        <v>1</v>
      </c>
      <c r="DN6" s="18">
        <f t="shared" si="25"/>
        <v>1</v>
      </c>
      <c r="DO6" s="18">
        <f t="shared" si="25"/>
        <v>1</v>
      </c>
      <c r="DP6" s="18">
        <f t="shared" si="25"/>
        <v>1</v>
      </c>
      <c r="DQ6" s="18">
        <f t="shared" si="25"/>
        <v>1</v>
      </c>
      <c r="DR6" s="18">
        <f t="shared" si="25"/>
        <v>1</v>
      </c>
      <c r="DS6" s="18">
        <f t="shared" si="25"/>
        <v>1</v>
      </c>
      <c r="DT6" s="18">
        <f t="shared" si="25"/>
        <v>1</v>
      </c>
      <c r="DU6" s="18">
        <f t="shared" si="25"/>
        <v>1</v>
      </c>
      <c r="DV6" s="18">
        <f t="shared" si="25"/>
        <v>1</v>
      </c>
      <c r="DW6" s="18">
        <f t="shared" si="25"/>
        <v>1</v>
      </c>
      <c r="DX6" s="18">
        <f t="shared" si="25"/>
        <v>1</v>
      </c>
      <c r="DY6" s="18">
        <f t="shared" si="25"/>
        <v>1</v>
      </c>
      <c r="DZ6" s="18">
        <f t="shared" si="25"/>
        <v>1</v>
      </c>
      <c r="EA6" s="18">
        <f t="shared" si="25"/>
        <v>1</v>
      </c>
      <c r="EB6" s="18">
        <f t="shared" si="25"/>
        <v>1</v>
      </c>
      <c r="EC6" s="18">
        <f t="shared" si="25"/>
        <v>1</v>
      </c>
      <c r="ED6" s="18">
        <f t="shared" si="25"/>
        <v>1</v>
      </c>
      <c r="EE6" s="18">
        <f t="shared" si="25"/>
        <v>1</v>
      </c>
      <c r="EF6" s="18">
        <f t="shared" ref="EF6:GQ6" si="26">COUNTIFS(EF$19:EF$75,"=1",$C$19:$C$75,"A",$D$19:$D$75,"5.2",$E$19:$E$75,"Expansión",$F$19:$F$75,"Medio")</f>
        <v>1</v>
      </c>
      <c r="EG6" s="18">
        <f t="shared" si="26"/>
        <v>1</v>
      </c>
      <c r="EH6" s="18">
        <f t="shared" si="26"/>
        <v>1</v>
      </c>
      <c r="EI6" s="18">
        <f t="shared" si="26"/>
        <v>1</v>
      </c>
      <c r="EJ6" s="18">
        <f t="shared" si="26"/>
        <v>1</v>
      </c>
      <c r="EK6" s="18">
        <f t="shared" si="26"/>
        <v>1</v>
      </c>
      <c r="EL6" s="18">
        <f t="shared" si="26"/>
        <v>1</v>
      </c>
      <c r="EM6" s="18">
        <f t="shared" si="26"/>
        <v>1</v>
      </c>
      <c r="EN6" s="18">
        <f t="shared" si="26"/>
        <v>1</v>
      </c>
      <c r="EO6" s="18">
        <f t="shared" si="26"/>
        <v>1</v>
      </c>
      <c r="EP6" s="18">
        <f t="shared" si="26"/>
        <v>1</v>
      </c>
      <c r="EQ6" s="18">
        <f t="shared" si="26"/>
        <v>1</v>
      </c>
      <c r="ER6" s="18">
        <f t="shared" si="26"/>
        <v>1</v>
      </c>
      <c r="ES6" s="18">
        <f t="shared" si="26"/>
        <v>1</v>
      </c>
      <c r="ET6" s="18">
        <f t="shared" si="26"/>
        <v>1</v>
      </c>
      <c r="EU6" s="18">
        <f t="shared" si="26"/>
        <v>1</v>
      </c>
      <c r="EV6" s="18">
        <f t="shared" si="26"/>
        <v>1</v>
      </c>
      <c r="EW6" s="18">
        <f t="shared" si="26"/>
        <v>1</v>
      </c>
      <c r="EX6" s="18">
        <f t="shared" si="26"/>
        <v>1</v>
      </c>
      <c r="EY6" s="18">
        <f t="shared" si="26"/>
        <v>1</v>
      </c>
      <c r="EZ6" s="18">
        <f t="shared" si="26"/>
        <v>1</v>
      </c>
      <c r="FA6" s="18">
        <f t="shared" si="26"/>
        <v>1</v>
      </c>
      <c r="FB6" s="18">
        <f t="shared" si="26"/>
        <v>1</v>
      </c>
      <c r="FC6" s="18">
        <f t="shared" si="26"/>
        <v>1</v>
      </c>
      <c r="FD6" s="18">
        <f t="shared" si="26"/>
        <v>1</v>
      </c>
      <c r="FE6" s="18">
        <f t="shared" si="26"/>
        <v>1</v>
      </c>
      <c r="FF6" s="18">
        <f t="shared" si="26"/>
        <v>1</v>
      </c>
      <c r="FG6" s="18">
        <f t="shared" si="26"/>
        <v>1</v>
      </c>
      <c r="FH6" s="18">
        <f t="shared" si="26"/>
        <v>1</v>
      </c>
      <c r="FI6" s="18">
        <f t="shared" si="26"/>
        <v>1</v>
      </c>
      <c r="FJ6" s="18">
        <f t="shared" si="26"/>
        <v>1</v>
      </c>
      <c r="FK6" s="18">
        <f t="shared" si="26"/>
        <v>1</v>
      </c>
      <c r="FL6" s="18">
        <f t="shared" si="26"/>
        <v>1</v>
      </c>
      <c r="FM6" s="18">
        <f t="shared" si="26"/>
        <v>1</v>
      </c>
      <c r="FN6" s="18">
        <f t="shared" si="26"/>
        <v>1</v>
      </c>
      <c r="FO6" s="18">
        <f t="shared" si="26"/>
        <v>1</v>
      </c>
      <c r="FP6" s="18">
        <f t="shared" si="26"/>
        <v>1</v>
      </c>
      <c r="FQ6" s="18">
        <f t="shared" si="26"/>
        <v>1</v>
      </c>
      <c r="FR6" s="18">
        <f t="shared" si="26"/>
        <v>1</v>
      </c>
      <c r="FS6" s="18">
        <f t="shared" si="26"/>
        <v>1</v>
      </c>
      <c r="FT6" s="18">
        <f t="shared" si="26"/>
        <v>1</v>
      </c>
      <c r="FU6" s="18">
        <f t="shared" si="26"/>
        <v>1</v>
      </c>
      <c r="FV6" s="18">
        <f t="shared" si="26"/>
        <v>1</v>
      </c>
      <c r="FW6" s="18">
        <f t="shared" si="26"/>
        <v>1</v>
      </c>
      <c r="FX6" s="18">
        <f t="shared" si="26"/>
        <v>1</v>
      </c>
      <c r="FY6" s="18">
        <f t="shared" si="26"/>
        <v>1</v>
      </c>
      <c r="FZ6" s="18">
        <f t="shared" si="26"/>
        <v>1</v>
      </c>
      <c r="GA6" s="18">
        <f t="shared" si="26"/>
        <v>1</v>
      </c>
      <c r="GB6" s="18">
        <f t="shared" si="26"/>
        <v>1</v>
      </c>
      <c r="GC6" s="18">
        <f t="shared" si="26"/>
        <v>1</v>
      </c>
      <c r="GD6" s="18">
        <f t="shared" si="26"/>
        <v>1</v>
      </c>
      <c r="GE6" s="18">
        <f t="shared" si="26"/>
        <v>1</v>
      </c>
      <c r="GF6" s="18">
        <f t="shared" si="26"/>
        <v>1</v>
      </c>
      <c r="GG6" s="18">
        <f t="shared" si="26"/>
        <v>1</v>
      </c>
      <c r="GH6" s="18">
        <f t="shared" si="26"/>
        <v>1</v>
      </c>
      <c r="GI6" s="18">
        <f t="shared" si="26"/>
        <v>1</v>
      </c>
      <c r="GJ6" s="18">
        <f t="shared" si="26"/>
        <v>1</v>
      </c>
      <c r="GK6" s="18">
        <f t="shared" si="26"/>
        <v>1</v>
      </c>
      <c r="GL6" s="18">
        <f t="shared" si="26"/>
        <v>1</v>
      </c>
      <c r="GM6" s="18">
        <f t="shared" si="26"/>
        <v>1</v>
      </c>
      <c r="GN6" s="18">
        <f t="shared" si="26"/>
        <v>1</v>
      </c>
      <c r="GO6" s="18">
        <f t="shared" si="26"/>
        <v>1</v>
      </c>
      <c r="GP6" s="18">
        <f t="shared" si="26"/>
        <v>1</v>
      </c>
      <c r="GQ6" s="18">
        <f t="shared" si="26"/>
        <v>1</v>
      </c>
      <c r="GR6" s="18">
        <f t="shared" ref="GR6:HX6" si="27">COUNTIFS(GR$19:GR$75,"=1",$C$19:$C$75,"A",$D$19:$D$75,"5.2",$E$19:$E$75,"Expansión",$F$19:$F$75,"Medio")</f>
        <v>1</v>
      </c>
      <c r="GS6" s="18">
        <f t="shared" si="27"/>
        <v>1</v>
      </c>
      <c r="GT6" s="18">
        <f t="shared" si="27"/>
        <v>1</v>
      </c>
      <c r="GU6" s="18">
        <f t="shared" si="27"/>
        <v>1</v>
      </c>
      <c r="GV6" s="18">
        <f t="shared" si="27"/>
        <v>1</v>
      </c>
      <c r="GW6" s="18">
        <f t="shared" si="27"/>
        <v>1</v>
      </c>
      <c r="GX6" s="18">
        <f t="shared" si="27"/>
        <v>1</v>
      </c>
      <c r="GY6" s="18">
        <f t="shared" si="27"/>
        <v>1</v>
      </c>
      <c r="GZ6" s="18">
        <f t="shared" si="27"/>
        <v>1</v>
      </c>
      <c r="HA6" s="18">
        <f t="shared" si="27"/>
        <v>1</v>
      </c>
      <c r="HB6" s="18">
        <f t="shared" si="27"/>
        <v>1</v>
      </c>
      <c r="HC6" s="18">
        <f t="shared" si="27"/>
        <v>1</v>
      </c>
      <c r="HD6" s="18">
        <f t="shared" si="27"/>
        <v>1</v>
      </c>
      <c r="HE6" s="18">
        <f t="shared" si="27"/>
        <v>1</v>
      </c>
      <c r="HF6" s="18">
        <f t="shared" si="27"/>
        <v>1</v>
      </c>
      <c r="HG6" s="18">
        <f t="shared" si="27"/>
        <v>1</v>
      </c>
      <c r="HH6" s="18">
        <f t="shared" si="27"/>
        <v>1</v>
      </c>
      <c r="HI6" s="18">
        <f t="shared" si="27"/>
        <v>1</v>
      </c>
      <c r="HJ6" s="18">
        <f t="shared" si="27"/>
        <v>1</v>
      </c>
      <c r="HK6" s="18">
        <f t="shared" si="27"/>
        <v>1</v>
      </c>
      <c r="HL6" s="18">
        <f t="shared" si="27"/>
        <v>1</v>
      </c>
      <c r="HM6" s="18">
        <f t="shared" si="27"/>
        <v>1</v>
      </c>
      <c r="HN6" s="18">
        <f t="shared" si="27"/>
        <v>1</v>
      </c>
      <c r="HO6" s="18">
        <f t="shared" si="27"/>
        <v>1</v>
      </c>
      <c r="HP6" s="18">
        <f t="shared" si="27"/>
        <v>1</v>
      </c>
      <c r="HQ6" s="18">
        <f t="shared" si="27"/>
        <v>1</v>
      </c>
      <c r="HR6" s="18">
        <f t="shared" si="27"/>
        <v>1</v>
      </c>
      <c r="HS6" s="18">
        <f t="shared" si="27"/>
        <v>1</v>
      </c>
      <c r="HT6" s="18">
        <f t="shared" si="27"/>
        <v>1</v>
      </c>
      <c r="HU6" s="18">
        <f t="shared" si="27"/>
        <v>1</v>
      </c>
      <c r="HV6" s="18">
        <f t="shared" si="27"/>
        <v>1</v>
      </c>
      <c r="HW6" s="18">
        <f t="shared" si="27"/>
        <v>1</v>
      </c>
      <c r="HX6" s="18">
        <f t="shared" si="27"/>
        <v>1</v>
      </c>
    </row>
    <row r="7" spans="1:232" hidden="1" x14ac:dyDescent="0.2">
      <c r="A7" s="71"/>
      <c r="B7" s="36"/>
      <c r="E7" s="18" t="s">
        <v>128</v>
      </c>
      <c r="F7" s="18" t="s">
        <v>135</v>
      </c>
      <c r="G7" s="18">
        <f>COUNTIFS(G$19:G$75,"=1",$C$19:$C$75,"A",$D$19:$D$75,"5.2",$E$19:$E$75,"Expansión",$F$19:$F$75,"Mar")</f>
        <v>0</v>
      </c>
      <c r="H7" s="18">
        <f t="shared" ref="H7:BS7" si="28">COUNTIFS(H$19:H$75,"=1",$C$19:$C$75,"A",$D$19:$D$75,"5.2",$E$19:$E$75,"Expansión",$F$19:$F$75,"Mar")</f>
        <v>0</v>
      </c>
      <c r="I7" s="18">
        <f t="shared" si="28"/>
        <v>0</v>
      </c>
      <c r="J7" s="18">
        <f t="shared" si="28"/>
        <v>0</v>
      </c>
      <c r="K7" s="18">
        <f t="shared" si="28"/>
        <v>0</v>
      </c>
      <c r="L7" s="18">
        <f t="shared" si="28"/>
        <v>0</v>
      </c>
      <c r="M7" s="18">
        <f t="shared" si="28"/>
        <v>0</v>
      </c>
      <c r="N7" s="18">
        <f t="shared" si="28"/>
        <v>0</v>
      </c>
      <c r="O7" s="18">
        <f t="shared" si="28"/>
        <v>0</v>
      </c>
      <c r="P7" s="18">
        <f t="shared" si="28"/>
        <v>0</v>
      </c>
      <c r="Q7" s="18">
        <f t="shared" si="28"/>
        <v>0</v>
      </c>
      <c r="R7" s="18">
        <f t="shared" si="28"/>
        <v>0</v>
      </c>
      <c r="S7" s="18">
        <f t="shared" si="28"/>
        <v>0</v>
      </c>
      <c r="T7" s="18">
        <f t="shared" si="28"/>
        <v>0</v>
      </c>
      <c r="U7" s="18">
        <f t="shared" si="28"/>
        <v>0</v>
      </c>
      <c r="V7" s="18">
        <f t="shared" si="28"/>
        <v>0</v>
      </c>
      <c r="W7" s="18">
        <f t="shared" si="28"/>
        <v>0</v>
      </c>
      <c r="X7" s="18">
        <f t="shared" si="28"/>
        <v>0</v>
      </c>
      <c r="Y7" s="18">
        <f t="shared" si="28"/>
        <v>0</v>
      </c>
      <c r="Z7" s="18">
        <f t="shared" si="28"/>
        <v>0</v>
      </c>
      <c r="AA7" s="18">
        <f t="shared" si="28"/>
        <v>0</v>
      </c>
      <c r="AB7" s="18">
        <f t="shared" si="28"/>
        <v>0</v>
      </c>
      <c r="AC7" s="18">
        <f t="shared" si="28"/>
        <v>0</v>
      </c>
      <c r="AD7" s="18">
        <f t="shared" si="28"/>
        <v>0</v>
      </c>
      <c r="AE7" s="18">
        <f t="shared" si="28"/>
        <v>0</v>
      </c>
      <c r="AF7" s="18">
        <f t="shared" si="28"/>
        <v>0</v>
      </c>
      <c r="AG7" s="18">
        <f t="shared" si="28"/>
        <v>0</v>
      </c>
      <c r="AH7" s="18">
        <f t="shared" si="28"/>
        <v>0</v>
      </c>
      <c r="AI7" s="18">
        <f t="shared" si="28"/>
        <v>0</v>
      </c>
      <c r="AJ7" s="18">
        <f t="shared" si="28"/>
        <v>0</v>
      </c>
      <c r="AK7" s="18">
        <f t="shared" si="28"/>
        <v>0</v>
      </c>
      <c r="AL7" s="18">
        <f t="shared" si="28"/>
        <v>0</v>
      </c>
      <c r="AM7" s="18">
        <f t="shared" si="28"/>
        <v>0</v>
      </c>
      <c r="AN7" s="18">
        <f t="shared" si="28"/>
        <v>0</v>
      </c>
      <c r="AO7" s="18">
        <f t="shared" si="28"/>
        <v>0</v>
      </c>
      <c r="AP7" s="18">
        <f t="shared" si="28"/>
        <v>0</v>
      </c>
      <c r="AQ7" s="18">
        <f t="shared" si="28"/>
        <v>0</v>
      </c>
      <c r="AR7" s="18">
        <f t="shared" si="28"/>
        <v>0</v>
      </c>
      <c r="AS7" s="18">
        <f t="shared" si="28"/>
        <v>0</v>
      </c>
      <c r="AT7" s="18">
        <f t="shared" si="28"/>
        <v>0</v>
      </c>
      <c r="AU7" s="18">
        <f t="shared" si="28"/>
        <v>0</v>
      </c>
      <c r="AV7" s="18">
        <f t="shared" si="28"/>
        <v>0</v>
      </c>
      <c r="AW7" s="18">
        <f t="shared" si="28"/>
        <v>0</v>
      </c>
      <c r="AX7" s="18">
        <f t="shared" si="28"/>
        <v>0</v>
      </c>
      <c r="AY7" s="18">
        <f t="shared" si="28"/>
        <v>0</v>
      </c>
      <c r="AZ7" s="18">
        <f t="shared" si="28"/>
        <v>0</v>
      </c>
      <c r="BA7" s="18">
        <f t="shared" si="28"/>
        <v>0</v>
      </c>
      <c r="BB7" s="18">
        <f t="shared" si="28"/>
        <v>0</v>
      </c>
      <c r="BC7" s="18">
        <f t="shared" si="28"/>
        <v>0</v>
      </c>
      <c r="BD7" s="18">
        <f t="shared" si="28"/>
        <v>0</v>
      </c>
      <c r="BE7" s="18">
        <f t="shared" si="28"/>
        <v>0</v>
      </c>
      <c r="BF7" s="18">
        <f t="shared" si="28"/>
        <v>0</v>
      </c>
      <c r="BG7" s="18">
        <f t="shared" si="28"/>
        <v>0</v>
      </c>
      <c r="BH7" s="18">
        <f t="shared" si="28"/>
        <v>0</v>
      </c>
      <c r="BI7" s="18">
        <f t="shared" si="28"/>
        <v>0</v>
      </c>
      <c r="BJ7" s="18">
        <f t="shared" si="28"/>
        <v>0</v>
      </c>
      <c r="BK7" s="18">
        <f t="shared" si="28"/>
        <v>0</v>
      </c>
      <c r="BL7" s="18">
        <f t="shared" si="28"/>
        <v>0</v>
      </c>
      <c r="BM7" s="18">
        <f t="shared" si="28"/>
        <v>0</v>
      </c>
      <c r="BN7" s="18">
        <f t="shared" si="28"/>
        <v>0</v>
      </c>
      <c r="BO7" s="18">
        <f t="shared" si="28"/>
        <v>0</v>
      </c>
      <c r="BP7" s="18">
        <f t="shared" si="28"/>
        <v>0</v>
      </c>
      <c r="BQ7" s="18">
        <f t="shared" si="28"/>
        <v>0</v>
      </c>
      <c r="BR7" s="18">
        <f t="shared" si="28"/>
        <v>0</v>
      </c>
      <c r="BS7" s="18">
        <f t="shared" si="28"/>
        <v>0</v>
      </c>
      <c r="BT7" s="18">
        <f t="shared" ref="BT7:EE7" si="29">COUNTIFS(BT$19:BT$75,"=1",$C$19:$C$75,"A",$D$19:$D$75,"5.2",$E$19:$E$75,"Expansión",$F$19:$F$75,"Mar")</f>
        <v>0</v>
      </c>
      <c r="BU7" s="18">
        <f t="shared" si="29"/>
        <v>0</v>
      </c>
      <c r="BV7" s="18">
        <f t="shared" si="29"/>
        <v>0</v>
      </c>
      <c r="BW7" s="18">
        <f t="shared" si="29"/>
        <v>0</v>
      </c>
      <c r="BX7" s="18">
        <f t="shared" si="29"/>
        <v>0</v>
      </c>
      <c r="BY7" s="18">
        <f t="shared" si="29"/>
        <v>0</v>
      </c>
      <c r="BZ7" s="18">
        <f t="shared" si="29"/>
        <v>0</v>
      </c>
      <c r="CA7" s="18">
        <f t="shared" si="29"/>
        <v>0</v>
      </c>
      <c r="CB7" s="18">
        <f t="shared" si="29"/>
        <v>0</v>
      </c>
      <c r="CC7" s="18">
        <f t="shared" si="29"/>
        <v>0</v>
      </c>
      <c r="CD7" s="18">
        <f t="shared" si="29"/>
        <v>0</v>
      </c>
      <c r="CE7" s="18">
        <f t="shared" si="29"/>
        <v>0</v>
      </c>
      <c r="CF7" s="18">
        <f t="shared" si="29"/>
        <v>0</v>
      </c>
      <c r="CG7" s="18">
        <f t="shared" si="29"/>
        <v>0</v>
      </c>
      <c r="CH7" s="18">
        <f t="shared" si="29"/>
        <v>0</v>
      </c>
      <c r="CI7" s="18">
        <f t="shared" si="29"/>
        <v>0</v>
      </c>
      <c r="CJ7" s="18">
        <f t="shared" si="29"/>
        <v>0</v>
      </c>
      <c r="CK7" s="18">
        <f t="shared" si="29"/>
        <v>0</v>
      </c>
      <c r="CL7" s="18">
        <f t="shared" si="29"/>
        <v>0</v>
      </c>
      <c r="CM7" s="18">
        <f t="shared" si="29"/>
        <v>0</v>
      </c>
      <c r="CN7" s="18">
        <f t="shared" si="29"/>
        <v>0</v>
      </c>
      <c r="CO7" s="18">
        <f t="shared" si="29"/>
        <v>0</v>
      </c>
      <c r="CP7" s="18">
        <f t="shared" si="29"/>
        <v>0</v>
      </c>
      <c r="CQ7" s="18">
        <f t="shared" si="29"/>
        <v>0</v>
      </c>
      <c r="CR7" s="18">
        <f t="shared" si="29"/>
        <v>0</v>
      </c>
      <c r="CS7" s="18">
        <f t="shared" si="29"/>
        <v>0</v>
      </c>
      <c r="CT7" s="18">
        <f t="shared" si="29"/>
        <v>0</v>
      </c>
      <c r="CU7" s="18">
        <f t="shared" si="29"/>
        <v>0</v>
      </c>
      <c r="CV7" s="18">
        <f t="shared" si="29"/>
        <v>0</v>
      </c>
      <c r="CW7" s="18">
        <f t="shared" si="29"/>
        <v>0</v>
      </c>
      <c r="CX7" s="18">
        <f t="shared" si="29"/>
        <v>0</v>
      </c>
      <c r="CY7" s="18">
        <f t="shared" si="29"/>
        <v>0</v>
      </c>
      <c r="CZ7" s="18">
        <f t="shared" si="29"/>
        <v>0</v>
      </c>
      <c r="DA7" s="18">
        <f t="shared" si="29"/>
        <v>0</v>
      </c>
      <c r="DB7" s="18">
        <f t="shared" si="29"/>
        <v>0</v>
      </c>
      <c r="DC7" s="18">
        <f t="shared" si="29"/>
        <v>0</v>
      </c>
      <c r="DD7" s="18">
        <f t="shared" si="29"/>
        <v>0</v>
      </c>
      <c r="DE7" s="18">
        <f t="shared" si="29"/>
        <v>0</v>
      </c>
      <c r="DF7" s="18">
        <f t="shared" si="29"/>
        <v>0</v>
      </c>
      <c r="DG7" s="18">
        <f t="shared" si="29"/>
        <v>0</v>
      </c>
      <c r="DH7" s="18">
        <f t="shared" si="29"/>
        <v>0</v>
      </c>
      <c r="DI7" s="18">
        <f t="shared" si="29"/>
        <v>0</v>
      </c>
      <c r="DJ7" s="18">
        <f t="shared" si="29"/>
        <v>0</v>
      </c>
      <c r="DK7" s="18">
        <f t="shared" si="29"/>
        <v>0</v>
      </c>
      <c r="DL7" s="18">
        <f t="shared" si="29"/>
        <v>0</v>
      </c>
      <c r="DM7" s="18">
        <f t="shared" si="29"/>
        <v>0</v>
      </c>
      <c r="DN7" s="18">
        <f t="shared" si="29"/>
        <v>0</v>
      </c>
      <c r="DO7" s="18">
        <f t="shared" si="29"/>
        <v>0</v>
      </c>
      <c r="DP7" s="18">
        <f t="shared" si="29"/>
        <v>0</v>
      </c>
      <c r="DQ7" s="18">
        <f t="shared" si="29"/>
        <v>0</v>
      </c>
      <c r="DR7" s="18">
        <f t="shared" si="29"/>
        <v>0</v>
      </c>
      <c r="DS7" s="18">
        <f t="shared" si="29"/>
        <v>0</v>
      </c>
      <c r="DT7" s="18">
        <f t="shared" si="29"/>
        <v>0</v>
      </c>
      <c r="DU7" s="18">
        <f t="shared" si="29"/>
        <v>0</v>
      </c>
      <c r="DV7" s="18">
        <f t="shared" si="29"/>
        <v>0</v>
      </c>
      <c r="DW7" s="18">
        <f t="shared" si="29"/>
        <v>0</v>
      </c>
      <c r="DX7" s="18">
        <f t="shared" si="29"/>
        <v>0</v>
      </c>
      <c r="DY7" s="18">
        <f t="shared" si="29"/>
        <v>0</v>
      </c>
      <c r="DZ7" s="18">
        <f t="shared" si="29"/>
        <v>0</v>
      </c>
      <c r="EA7" s="18">
        <f t="shared" si="29"/>
        <v>0</v>
      </c>
      <c r="EB7" s="18">
        <f t="shared" si="29"/>
        <v>0</v>
      </c>
      <c r="EC7" s="18">
        <f t="shared" si="29"/>
        <v>0</v>
      </c>
      <c r="ED7" s="18">
        <f t="shared" si="29"/>
        <v>0</v>
      </c>
      <c r="EE7" s="18">
        <f t="shared" si="29"/>
        <v>0</v>
      </c>
      <c r="EF7" s="18">
        <f t="shared" ref="EF7:GQ7" si="30">COUNTIFS(EF$19:EF$75,"=1",$C$19:$C$75,"A",$D$19:$D$75,"5.2",$E$19:$E$75,"Expansión",$F$19:$F$75,"Mar")</f>
        <v>0</v>
      </c>
      <c r="EG7" s="18">
        <f t="shared" si="30"/>
        <v>0</v>
      </c>
      <c r="EH7" s="18">
        <f t="shared" si="30"/>
        <v>0</v>
      </c>
      <c r="EI7" s="18">
        <f t="shared" si="30"/>
        <v>0</v>
      </c>
      <c r="EJ7" s="18">
        <f t="shared" si="30"/>
        <v>0</v>
      </c>
      <c r="EK7" s="18">
        <f t="shared" si="30"/>
        <v>0</v>
      </c>
      <c r="EL7" s="18">
        <f t="shared" si="30"/>
        <v>0</v>
      </c>
      <c r="EM7" s="18">
        <f t="shared" si="30"/>
        <v>0</v>
      </c>
      <c r="EN7" s="18">
        <f t="shared" si="30"/>
        <v>0</v>
      </c>
      <c r="EO7" s="18">
        <f t="shared" si="30"/>
        <v>0</v>
      </c>
      <c r="EP7" s="18">
        <f t="shared" si="30"/>
        <v>0</v>
      </c>
      <c r="EQ7" s="18">
        <f t="shared" si="30"/>
        <v>0</v>
      </c>
      <c r="ER7" s="18">
        <f t="shared" si="30"/>
        <v>0</v>
      </c>
      <c r="ES7" s="18">
        <f t="shared" si="30"/>
        <v>0</v>
      </c>
      <c r="ET7" s="18">
        <f t="shared" si="30"/>
        <v>0</v>
      </c>
      <c r="EU7" s="18">
        <f t="shared" si="30"/>
        <v>0</v>
      </c>
      <c r="EV7" s="18">
        <f t="shared" si="30"/>
        <v>0</v>
      </c>
      <c r="EW7" s="18">
        <f t="shared" si="30"/>
        <v>0</v>
      </c>
      <c r="EX7" s="18">
        <f t="shared" si="30"/>
        <v>0</v>
      </c>
      <c r="EY7" s="18">
        <f t="shared" si="30"/>
        <v>0</v>
      </c>
      <c r="EZ7" s="18">
        <f t="shared" si="30"/>
        <v>0</v>
      </c>
      <c r="FA7" s="18">
        <f t="shared" si="30"/>
        <v>0</v>
      </c>
      <c r="FB7" s="18">
        <f t="shared" si="30"/>
        <v>0</v>
      </c>
      <c r="FC7" s="18">
        <f t="shared" si="30"/>
        <v>0</v>
      </c>
      <c r="FD7" s="18">
        <f t="shared" si="30"/>
        <v>0</v>
      </c>
      <c r="FE7" s="18">
        <f t="shared" si="30"/>
        <v>0</v>
      </c>
      <c r="FF7" s="18">
        <f t="shared" si="30"/>
        <v>0</v>
      </c>
      <c r="FG7" s="18">
        <f t="shared" si="30"/>
        <v>0</v>
      </c>
      <c r="FH7" s="18">
        <f t="shared" si="30"/>
        <v>0</v>
      </c>
      <c r="FI7" s="18">
        <f t="shared" si="30"/>
        <v>0</v>
      </c>
      <c r="FJ7" s="18">
        <f t="shared" si="30"/>
        <v>0</v>
      </c>
      <c r="FK7" s="18">
        <f t="shared" si="30"/>
        <v>0</v>
      </c>
      <c r="FL7" s="18">
        <f t="shared" si="30"/>
        <v>0</v>
      </c>
      <c r="FM7" s="18">
        <f t="shared" si="30"/>
        <v>0</v>
      </c>
      <c r="FN7" s="18">
        <f t="shared" si="30"/>
        <v>0</v>
      </c>
      <c r="FO7" s="18">
        <f t="shared" si="30"/>
        <v>0</v>
      </c>
      <c r="FP7" s="18">
        <f t="shared" si="30"/>
        <v>0</v>
      </c>
      <c r="FQ7" s="18">
        <f t="shared" si="30"/>
        <v>0</v>
      </c>
      <c r="FR7" s="18">
        <f t="shared" si="30"/>
        <v>0</v>
      </c>
      <c r="FS7" s="18">
        <f t="shared" si="30"/>
        <v>0</v>
      </c>
      <c r="FT7" s="18">
        <f t="shared" si="30"/>
        <v>0</v>
      </c>
      <c r="FU7" s="18">
        <f t="shared" si="30"/>
        <v>0</v>
      </c>
      <c r="FV7" s="18">
        <f t="shared" si="30"/>
        <v>0</v>
      </c>
      <c r="FW7" s="18">
        <f t="shared" si="30"/>
        <v>0</v>
      </c>
      <c r="FX7" s="18">
        <f t="shared" si="30"/>
        <v>0</v>
      </c>
      <c r="FY7" s="18">
        <f t="shared" si="30"/>
        <v>0</v>
      </c>
      <c r="FZ7" s="18">
        <f t="shared" si="30"/>
        <v>0</v>
      </c>
      <c r="GA7" s="18">
        <f t="shared" si="30"/>
        <v>0</v>
      </c>
      <c r="GB7" s="18">
        <f t="shared" si="30"/>
        <v>0</v>
      </c>
      <c r="GC7" s="18">
        <f t="shared" si="30"/>
        <v>0</v>
      </c>
      <c r="GD7" s="18">
        <f t="shared" si="30"/>
        <v>0</v>
      </c>
      <c r="GE7" s="18">
        <f t="shared" si="30"/>
        <v>0</v>
      </c>
      <c r="GF7" s="18">
        <f t="shared" si="30"/>
        <v>0</v>
      </c>
      <c r="GG7" s="18">
        <f t="shared" si="30"/>
        <v>0</v>
      </c>
      <c r="GH7" s="18">
        <f t="shared" si="30"/>
        <v>0</v>
      </c>
      <c r="GI7" s="18">
        <f t="shared" si="30"/>
        <v>0</v>
      </c>
      <c r="GJ7" s="18">
        <f t="shared" si="30"/>
        <v>0</v>
      </c>
      <c r="GK7" s="18">
        <f t="shared" si="30"/>
        <v>0</v>
      </c>
      <c r="GL7" s="18">
        <f t="shared" si="30"/>
        <v>0</v>
      </c>
      <c r="GM7" s="18">
        <f t="shared" si="30"/>
        <v>0</v>
      </c>
      <c r="GN7" s="18">
        <f t="shared" si="30"/>
        <v>0</v>
      </c>
      <c r="GO7" s="18">
        <f t="shared" si="30"/>
        <v>0</v>
      </c>
      <c r="GP7" s="18">
        <f t="shared" si="30"/>
        <v>0</v>
      </c>
      <c r="GQ7" s="18">
        <f t="shared" si="30"/>
        <v>0</v>
      </c>
      <c r="GR7" s="18">
        <f t="shared" ref="GR7:HX7" si="31">COUNTIFS(GR$19:GR$75,"=1",$C$19:$C$75,"A",$D$19:$D$75,"5.2",$E$19:$E$75,"Expansión",$F$19:$F$75,"Mar")</f>
        <v>0</v>
      </c>
      <c r="GS7" s="18">
        <f t="shared" si="31"/>
        <v>0</v>
      </c>
      <c r="GT7" s="18">
        <f t="shared" si="31"/>
        <v>0</v>
      </c>
      <c r="GU7" s="18">
        <f t="shared" si="31"/>
        <v>0</v>
      </c>
      <c r="GV7" s="18">
        <f t="shared" si="31"/>
        <v>0</v>
      </c>
      <c r="GW7" s="18">
        <f t="shared" si="31"/>
        <v>0</v>
      </c>
      <c r="GX7" s="18">
        <f t="shared" si="31"/>
        <v>0</v>
      </c>
      <c r="GY7" s="18">
        <f t="shared" si="31"/>
        <v>0</v>
      </c>
      <c r="GZ7" s="18">
        <f t="shared" si="31"/>
        <v>0</v>
      </c>
      <c r="HA7" s="18">
        <f t="shared" si="31"/>
        <v>0</v>
      </c>
      <c r="HB7" s="18">
        <f t="shared" si="31"/>
        <v>0</v>
      </c>
      <c r="HC7" s="18">
        <f t="shared" si="31"/>
        <v>0</v>
      </c>
      <c r="HD7" s="18">
        <f t="shared" si="31"/>
        <v>0</v>
      </c>
      <c r="HE7" s="18">
        <f t="shared" si="31"/>
        <v>0</v>
      </c>
      <c r="HF7" s="18">
        <f t="shared" si="31"/>
        <v>0</v>
      </c>
      <c r="HG7" s="18">
        <f t="shared" si="31"/>
        <v>0</v>
      </c>
      <c r="HH7" s="18">
        <f t="shared" si="31"/>
        <v>0</v>
      </c>
      <c r="HI7" s="18">
        <f t="shared" si="31"/>
        <v>0</v>
      </c>
      <c r="HJ7" s="18">
        <f t="shared" si="31"/>
        <v>0</v>
      </c>
      <c r="HK7" s="18">
        <f t="shared" si="31"/>
        <v>0</v>
      </c>
      <c r="HL7" s="18">
        <f t="shared" si="31"/>
        <v>0</v>
      </c>
      <c r="HM7" s="18">
        <f t="shared" si="31"/>
        <v>0</v>
      </c>
      <c r="HN7" s="18">
        <f t="shared" si="31"/>
        <v>0</v>
      </c>
      <c r="HO7" s="18">
        <f t="shared" si="31"/>
        <v>0</v>
      </c>
      <c r="HP7" s="18">
        <f t="shared" si="31"/>
        <v>0</v>
      </c>
      <c r="HQ7" s="18">
        <f t="shared" si="31"/>
        <v>0</v>
      </c>
      <c r="HR7" s="18">
        <f t="shared" si="31"/>
        <v>0</v>
      </c>
      <c r="HS7" s="18">
        <f t="shared" si="31"/>
        <v>0</v>
      </c>
      <c r="HT7" s="18">
        <f t="shared" si="31"/>
        <v>0</v>
      </c>
      <c r="HU7" s="18">
        <f t="shared" si="31"/>
        <v>0</v>
      </c>
      <c r="HV7" s="18">
        <f t="shared" si="31"/>
        <v>0</v>
      </c>
      <c r="HW7" s="18">
        <f t="shared" si="31"/>
        <v>0</v>
      </c>
      <c r="HX7" s="18">
        <f t="shared" si="31"/>
        <v>0</v>
      </c>
    </row>
    <row r="8" spans="1:232" hidden="1" x14ac:dyDescent="0.2">
      <c r="E8" s="18" t="s">
        <v>127</v>
      </c>
      <c r="F8" s="18" t="s">
        <v>136</v>
      </c>
      <c r="G8" s="18">
        <f>COUNTIFS(G$19:G$75,"=1",$C$19:$C$75,"B",$D$19:$D$75,"5.2",$E$19:$E$75,"Lomitas",$F$19:$F$75,"Cerro")</f>
        <v>0</v>
      </c>
      <c r="H8" s="18">
        <f t="shared" ref="H8:BS8" si="32">COUNTIFS(H$19:H$75,"=1",$C$19:$C$75,"B",$D$19:$D$75,"5.2",$E$19:$E$75,"Lomitas",$F$19:$F$75,"Cerro")</f>
        <v>0</v>
      </c>
      <c r="I8" s="18">
        <f t="shared" si="32"/>
        <v>0</v>
      </c>
      <c r="J8" s="18">
        <f t="shared" si="32"/>
        <v>0</v>
      </c>
      <c r="K8" s="18">
        <f t="shared" si="32"/>
        <v>0</v>
      </c>
      <c r="L8" s="18">
        <f t="shared" si="32"/>
        <v>0</v>
      </c>
      <c r="M8" s="18">
        <f t="shared" si="32"/>
        <v>0</v>
      </c>
      <c r="N8" s="18">
        <f t="shared" si="32"/>
        <v>0</v>
      </c>
      <c r="O8" s="18">
        <f t="shared" si="32"/>
        <v>0</v>
      </c>
      <c r="P8" s="18">
        <f t="shared" si="32"/>
        <v>0</v>
      </c>
      <c r="Q8" s="18">
        <f t="shared" si="32"/>
        <v>0</v>
      </c>
      <c r="R8" s="18">
        <f t="shared" si="32"/>
        <v>0</v>
      </c>
      <c r="S8" s="18">
        <f t="shared" si="32"/>
        <v>0</v>
      </c>
      <c r="T8" s="18">
        <f t="shared" si="32"/>
        <v>0</v>
      </c>
      <c r="U8" s="18">
        <f t="shared" si="32"/>
        <v>0</v>
      </c>
      <c r="V8" s="18">
        <f t="shared" si="32"/>
        <v>0</v>
      </c>
      <c r="W8" s="18">
        <f t="shared" si="32"/>
        <v>0</v>
      </c>
      <c r="X8" s="18">
        <f t="shared" si="32"/>
        <v>0</v>
      </c>
      <c r="Y8" s="18">
        <f t="shared" si="32"/>
        <v>0</v>
      </c>
      <c r="Z8" s="18">
        <f t="shared" si="32"/>
        <v>0</v>
      </c>
      <c r="AA8" s="18">
        <f t="shared" si="32"/>
        <v>0</v>
      </c>
      <c r="AB8" s="18">
        <f t="shared" si="32"/>
        <v>0</v>
      </c>
      <c r="AC8" s="18">
        <f t="shared" si="32"/>
        <v>0</v>
      </c>
      <c r="AD8" s="18">
        <f t="shared" si="32"/>
        <v>0</v>
      </c>
      <c r="AE8" s="18">
        <f t="shared" si="32"/>
        <v>0</v>
      </c>
      <c r="AF8" s="18">
        <f t="shared" si="32"/>
        <v>0</v>
      </c>
      <c r="AG8" s="18">
        <f t="shared" si="32"/>
        <v>0</v>
      </c>
      <c r="AH8" s="18">
        <f t="shared" si="32"/>
        <v>0</v>
      </c>
      <c r="AI8" s="18">
        <f t="shared" si="32"/>
        <v>0</v>
      </c>
      <c r="AJ8" s="18">
        <f t="shared" si="32"/>
        <v>0</v>
      </c>
      <c r="AK8" s="18">
        <f t="shared" si="32"/>
        <v>0</v>
      </c>
      <c r="AL8" s="18">
        <f t="shared" si="32"/>
        <v>0</v>
      </c>
      <c r="AM8" s="18">
        <f t="shared" si="32"/>
        <v>0</v>
      </c>
      <c r="AN8" s="18">
        <f t="shared" si="32"/>
        <v>0</v>
      </c>
      <c r="AO8" s="18">
        <f t="shared" si="32"/>
        <v>0</v>
      </c>
      <c r="AP8" s="18">
        <f t="shared" si="32"/>
        <v>0</v>
      </c>
      <c r="AQ8" s="18">
        <f t="shared" si="32"/>
        <v>0</v>
      </c>
      <c r="AR8" s="18">
        <f t="shared" si="32"/>
        <v>0</v>
      </c>
      <c r="AS8" s="18">
        <f t="shared" si="32"/>
        <v>0</v>
      </c>
      <c r="AT8" s="18">
        <f t="shared" si="32"/>
        <v>0</v>
      </c>
      <c r="AU8" s="18">
        <f t="shared" si="32"/>
        <v>0</v>
      </c>
      <c r="AV8" s="18">
        <f t="shared" si="32"/>
        <v>0</v>
      </c>
      <c r="AW8" s="18">
        <f t="shared" si="32"/>
        <v>0</v>
      </c>
      <c r="AX8" s="18">
        <f t="shared" si="32"/>
        <v>0</v>
      </c>
      <c r="AY8" s="18">
        <f t="shared" si="32"/>
        <v>0</v>
      </c>
      <c r="AZ8" s="18">
        <f t="shared" si="32"/>
        <v>0</v>
      </c>
      <c r="BA8" s="18">
        <f t="shared" si="32"/>
        <v>0</v>
      </c>
      <c r="BB8" s="18">
        <f t="shared" si="32"/>
        <v>0</v>
      </c>
      <c r="BC8" s="18">
        <f t="shared" si="32"/>
        <v>0</v>
      </c>
      <c r="BD8" s="18">
        <f t="shared" si="32"/>
        <v>0</v>
      </c>
      <c r="BE8" s="18">
        <f t="shared" si="32"/>
        <v>0</v>
      </c>
      <c r="BF8" s="18">
        <f t="shared" si="32"/>
        <v>0</v>
      </c>
      <c r="BG8" s="18">
        <f t="shared" si="32"/>
        <v>0</v>
      </c>
      <c r="BH8" s="18">
        <f t="shared" si="32"/>
        <v>0</v>
      </c>
      <c r="BI8" s="18">
        <f t="shared" si="32"/>
        <v>0</v>
      </c>
      <c r="BJ8" s="18">
        <f t="shared" si="32"/>
        <v>0</v>
      </c>
      <c r="BK8" s="18">
        <f t="shared" si="32"/>
        <v>0</v>
      </c>
      <c r="BL8" s="18">
        <f t="shared" si="32"/>
        <v>0</v>
      </c>
      <c r="BM8" s="18">
        <f t="shared" si="32"/>
        <v>0</v>
      </c>
      <c r="BN8" s="18">
        <f t="shared" si="32"/>
        <v>0</v>
      </c>
      <c r="BO8" s="18">
        <f t="shared" si="32"/>
        <v>0</v>
      </c>
      <c r="BP8" s="18">
        <f t="shared" si="32"/>
        <v>0</v>
      </c>
      <c r="BQ8" s="18">
        <f t="shared" si="32"/>
        <v>0</v>
      </c>
      <c r="BR8" s="18">
        <f t="shared" si="32"/>
        <v>0</v>
      </c>
      <c r="BS8" s="18">
        <f t="shared" si="32"/>
        <v>0</v>
      </c>
      <c r="BT8" s="18">
        <f t="shared" ref="BT8:EE8" si="33">COUNTIFS(BT$19:BT$75,"=1",$C$19:$C$75,"B",$D$19:$D$75,"5.2",$E$19:$E$75,"Lomitas",$F$19:$F$75,"Cerro")</f>
        <v>0</v>
      </c>
      <c r="BU8" s="18">
        <f t="shared" si="33"/>
        <v>0</v>
      </c>
      <c r="BV8" s="18">
        <f t="shared" si="33"/>
        <v>0</v>
      </c>
      <c r="BW8" s="18">
        <f t="shared" si="33"/>
        <v>0</v>
      </c>
      <c r="BX8" s="18">
        <f t="shared" si="33"/>
        <v>0</v>
      </c>
      <c r="BY8" s="18">
        <f t="shared" si="33"/>
        <v>0</v>
      </c>
      <c r="BZ8" s="18">
        <f t="shared" si="33"/>
        <v>0</v>
      </c>
      <c r="CA8" s="18">
        <f t="shared" si="33"/>
        <v>0</v>
      </c>
      <c r="CB8" s="18">
        <f t="shared" si="33"/>
        <v>0</v>
      </c>
      <c r="CC8" s="18">
        <f t="shared" si="33"/>
        <v>0</v>
      </c>
      <c r="CD8" s="18">
        <f t="shared" si="33"/>
        <v>0</v>
      </c>
      <c r="CE8" s="18">
        <f t="shared" si="33"/>
        <v>0</v>
      </c>
      <c r="CF8" s="18">
        <f t="shared" si="33"/>
        <v>0</v>
      </c>
      <c r="CG8" s="18">
        <f t="shared" si="33"/>
        <v>0</v>
      </c>
      <c r="CH8" s="18">
        <f t="shared" si="33"/>
        <v>0</v>
      </c>
      <c r="CI8" s="18">
        <f t="shared" si="33"/>
        <v>0</v>
      </c>
      <c r="CJ8" s="18">
        <f t="shared" si="33"/>
        <v>0</v>
      </c>
      <c r="CK8" s="18">
        <f t="shared" si="33"/>
        <v>0</v>
      </c>
      <c r="CL8" s="18">
        <f t="shared" si="33"/>
        <v>0</v>
      </c>
      <c r="CM8" s="18">
        <f t="shared" si="33"/>
        <v>0</v>
      </c>
      <c r="CN8" s="18">
        <f t="shared" si="33"/>
        <v>0</v>
      </c>
      <c r="CO8" s="18">
        <f t="shared" si="33"/>
        <v>0</v>
      </c>
      <c r="CP8" s="18">
        <f t="shared" si="33"/>
        <v>0</v>
      </c>
      <c r="CQ8" s="18">
        <f t="shared" si="33"/>
        <v>0</v>
      </c>
      <c r="CR8" s="18">
        <f t="shared" si="33"/>
        <v>0</v>
      </c>
      <c r="CS8" s="18">
        <f t="shared" si="33"/>
        <v>0</v>
      </c>
      <c r="CT8" s="18">
        <f t="shared" si="33"/>
        <v>0</v>
      </c>
      <c r="CU8" s="18">
        <f t="shared" si="33"/>
        <v>0</v>
      </c>
      <c r="CV8" s="18">
        <f t="shared" si="33"/>
        <v>0</v>
      </c>
      <c r="CW8" s="18">
        <f t="shared" si="33"/>
        <v>0</v>
      </c>
      <c r="CX8" s="18">
        <f t="shared" si="33"/>
        <v>0</v>
      </c>
      <c r="CY8" s="18">
        <f t="shared" si="33"/>
        <v>0</v>
      </c>
      <c r="CZ8" s="18">
        <f t="shared" si="33"/>
        <v>0</v>
      </c>
      <c r="DA8" s="18">
        <f t="shared" si="33"/>
        <v>0</v>
      </c>
      <c r="DB8" s="18">
        <f t="shared" si="33"/>
        <v>0</v>
      </c>
      <c r="DC8" s="18">
        <f t="shared" si="33"/>
        <v>0</v>
      </c>
      <c r="DD8" s="18">
        <f t="shared" si="33"/>
        <v>0</v>
      </c>
      <c r="DE8" s="18">
        <f t="shared" si="33"/>
        <v>0</v>
      </c>
      <c r="DF8" s="18">
        <f t="shared" si="33"/>
        <v>0</v>
      </c>
      <c r="DG8" s="18">
        <f t="shared" si="33"/>
        <v>0</v>
      </c>
      <c r="DH8" s="18">
        <f t="shared" si="33"/>
        <v>0</v>
      </c>
      <c r="DI8" s="18">
        <f t="shared" si="33"/>
        <v>0</v>
      </c>
      <c r="DJ8" s="18">
        <f t="shared" si="33"/>
        <v>0</v>
      </c>
      <c r="DK8" s="18">
        <f t="shared" si="33"/>
        <v>0</v>
      </c>
      <c r="DL8" s="18">
        <f t="shared" si="33"/>
        <v>0</v>
      </c>
      <c r="DM8" s="18">
        <f t="shared" si="33"/>
        <v>0</v>
      </c>
      <c r="DN8" s="18">
        <f t="shared" si="33"/>
        <v>0</v>
      </c>
      <c r="DO8" s="18">
        <f t="shared" si="33"/>
        <v>0</v>
      </c>
      <c r="DP8" s="18">
        <f t="shared" si="33"/>
        <v>0</v>
      </c>
      <c r="DQ8" s="18">
        <f t="shared" si="33"/>
        <v>0</v>
      </c>
      <c r="DR8" s="18">
        <f t="shared" si="33"/>
        <v>0</v>
      </c>
      <c r="DS8" s="18">
        <f t="shared" si="33"/>
        <v>0</v>
      </c>
      <c r="DT8" s="18">
        <f t="shared" si="33"/>
        <v>0</v>
      </c>
      <c r="DU8" s="18">
        <f t="shared" si="33"/>
        <v>0</v>
      </c>
      <c r="DV8" s="18">
        <f t="shared" si="33"/>
        <v>0</v>
      </c>
      <c r="DW8" s="18">
        <f t="shared" si="33"/>
        <v>0</v>
      </c>
      <c r="DX8" s="18">
        <f t="shared" si="33"/>
        <v>0</v>
      </c>
      <c r="DY8" s="18">
        <f t="shared" si="33"/>
        <v>0</v>
      </c>
      <c r="DZ8" s="18">
        <f t="shared" si="33"/>
        <v>0</v>
      </c>
      <c r="EA8" s="18">
        <f t="shared" si="33"/>
        <v>0</v>
      </c>
      <c r="EB8" s="18">
        <f t="shared" si="33"/>
        <v>0</v>
      </c>
      <c r="EC8" s="18">
        <f t="shared" si="33"/>
        <v>0</v>
      </c>
      <c r="ED8" s="18">
        <f t="shared" si="33"/>
        <v>0</v>
      </c>
      <c r="EE8" s="18">
        <f t="shared" si="33"/>
        <v>0</v>
      </c>
      <c r="EF8" s="18">
        <f t="shared" ref="EF8:GQ8" si="34">COUNTIFS(EF$19:EF$75,"=1",$C$19:$C$75,"B",$D$19:$D$75,"5.2",$E$19:$E$75,"Lomitas",$F$19:$F$75,"Cerro")</f>
        <v>0</v>
      </c>
      <c r="EG8" s="18">
        <f t="shared" si="34"/>
        <v>0</v>
      </c>
      <c r="EH8" s="18">
        <f t="shared" si="34"/>
        <v>0</v>
      </c>
      <c r="EI8" s="18">
        <f t="shared" si="34"/>
        <v>0</v>
      </c>
      <c r="EJ8" s="18">
        <f t="shared" si="34"/>
        <v>0</v>
      </c>
      <c r="EK8" s="18">
        <f t="shared" si="34"/>
        <v>0</v>
      </c>
      <c r="EL8" s="18">
        <f t="shared" si="34"/>
        <v>0</v>
      </c>
      <c r="EM8" s="18">
        <f t="shared" si="34"/>
        <v>0</v>
      </c>
      <c r="EN8" s="18">
        <f t="shared" si="34"/>
        <v>0</v>
      </c>
      <c r="EO8" s="18">
        <f t="shared" si="34"/>
        <v>0</v>
      </c>
      <c r="EP8" s="18">
        <f t="shared" si="34"/>
        <v>0</v>
      </c>
      <c r="EQ8" s="18">
        <f t="shared" si="34"/>
        <v>0</v>
      </c>
      <c r="ER8" s="18">
        <f t="shared" si="34"/>
        <v>0</v>
      </c>
      <c r="ES8" s="18">
        <f t="shared" si="34"/>
        <v>0</v>
      </c>
      <c r="ET8" s="18">
        <f t="shared" si="34"/>
        <v>0</v>
      </c>
      <c r="EU8" s="18">
        <f t="shared" si="34"/>
        <v>0</v>
      </c>
      <c r="EV8" s="18">
        <f t="shared" si="34"/>
        <v>0</v>
      </c>
      <c r="EW8" s="18">
        <f t="shared" si="34"/>
        <v>0</v>
      </c>
      <c r="EX8" s="18">
        <f t="shared" si="34"/>
        <v>0</v>
      </c>
      <c r="EY8" s="18">
        <f t="shared" si="34"/>
        <v>0</v>
      </c>
      <c r="EZ8" s="18">
        <f t="shared" si="34"/>
        <v>0</v>
      </c>
      <c r="FA8" s="18">
        <f t="shared" si="34"/>
        <v>0</v>
      </c>
      <c r="FB8" s="18">
        <f t="shared" si="34"/>
        <v>0</v>
      </c>
      <c r="FC8" s="18">
        <f t="shared" si="34"/>
        <v>0</v>
      </c>
      <c r="FD8" s="18">
        <f t="shared" si="34"/>
        <v>0</v>
      </c>
      <c r="FE8" s="18">
        <f t="shared" si="34"/>
        <v>0</v>
      </c>
      <c r="FF8" s="18">
        <f t="shared" si="34"/>
        <v>0</v>
      </c>
      <c r="FG8" s="18">
        <f t="shared" si="34"/>
        <v>0</v>
      </c>
      <c r="FH8" s="18">
        <f t="shared" si="34"/>
        <v>0</v>
      </c>
      <c r="FI8" s="18">
        <f t="shared" si="34"/>
        <v>0</v>
      </c>
      <c r="FJ8" s="18">
        <f t="shared" si="34"/>
        <v>0</v>
      </c>
      <c r="FK8" s="18">
        <f t="shared" si="34"/>
        <v>0</v>
      </c>
      <c r="FL8" s="18">
        <f t="shared" si="34"/>
        <v>0</v>
      </c>
      <c r="FM8" s="18">
        <f t="shared" si="34"/>
        <v>0</v>
      </c>
      <c r="FN8" s="18">
        <f t="shared" si="34"/>
        <v>0</v>
      </c>
      <c r="FO8" s="18">
        <f t="shared" si="34"/>
        <v>0</v>
      </c>
      <c r="FP8" s="18">
        <f t="shared" si="34"/>
        <v>0</v>
      </c>
      <c r="FQ8" s="18">
        <f t="shared" si="34"/>
        <v>0</v>
      </c>
      <c r="FR8" s="18">
        <f t="shared" si="34"/>
        <v>0</v>
      </c>
      <c r="FS8" s="18">
        <f t="shared" si="34"/>
        <v>0</v>
      </c>
      <c r="FT8" s="18">
        <f t="shared" si="34"/>
        <v>0</v>
      </c>
      <c r="FU8" s="18">
        <f t="shared" si="34"/>
        <v>0</v>
      </c>
      <c r="FV8" s="18">
        <f t="shared" si="34"/>
        <v>0</v>
      </c>
      <c r="FW8" s="18">
        <f t="shared" si="34"/>
        <v>0</v>
      </c>
      <c r="FX8" s="18">
        <f t="shared" si="34"/>
        <v>0</v>
      </c>
      <c r="FY8" s="18">
        <f t="shared" si="34"/>
        <v>0</v>
      </c>
      <c r="FZ8" s="18">
        <f t="shared" si="34"/>
        <v>0</v>
      </c>
      <c r="GA8" s="18">
        <f t="shared" si="34"/>
        <v>0</v>
      </c>
      <c r="GB8" s="18">
        <f t="shared" si="34"/>
        <v>0</v>
      </c>
      <c r="GC8" s="18">
        <f t="shared" si="34"/>
        <v>0</v>
      </c>
      <c r="GD8" s="18">
        <f t="shared" si="34"/>
        <v>0</v>
      </c>
      <c r="GE8" s="18">
        <f t="shared" si="34"/>
        <v>0</v>
      </c>
      <c r="GF8" s="18">
        <f t="shared" si="34"/>
        <v>0</v>
      </c>
      <c r="GG8" s="18">
        <f t="shared" si="34"/>
        <v>0</v>
      </c>
      <c r="GH8" s="18">
        <f t="shared" si="34"/>
        <v>0</v>
      </c>
      <c r="GI8" s="18">
        <f t="shared" si="34"/>
        <v>0</v>
      </c>
      <c r="GJ8" s="18">
        <f t="shared" si="34"/>
        <v>0</v>
      </c>
      <c r="GK8" s="18">
        <f t="shared" si="34"/>
        <v>0</v>
      </c>
      <c r="GL8" s="18">
        <f t="shared" si="34"/>
        <v>0</v>
      </c>
      <c r="GM8" s="18">
        <f t="shared" si="34"/>
        <v>0</v>
      </c>
      <c r="GN8" s="18">
        <f t="shared" si="34"/>
        <v>0</v>
      </c>
      <c r="GO8" s="18">
        <f t="shared" si="34"/>
        <v>0</v>
      </c>
      <c r="GP8" s="18">
        <f t="shared" si="34"/>
        <v>0</v>
      </c>
      <c r="GQ8" s="18">
        <f t="shared" si="34"/>
        <v>0</v>
      </c>
      <c r="GR8" s="18">
        <f t="shared" ref="GR8:HX8" si="35">COUNTIFS(GR$19:GR$75,"=1",$C$19:$C$75,"B",$D$19:$D$75,"5.2",$E$19:$E$75,"Lomitas",$F$19:$F$75,"Cerro")</f>
        <v>0</v>
      </c>
      <c r="GS8" s="18">
        <f t="shared" si="35"/>
        <v>0</v>
      </c>
      <c r="GT8" s="18">
        <f t="shared" si="35"/>
        <v>0</v>
      </c>
      <c r="GU8" s="18">
        <f t="shared" si="35"/>
        <v>0</v>
      </c>
      <c r="GV8" s="18">
        <f t="shared" si="35"/>
        <v>0</v>
      </c>
      <c r="GW8" s="18">
        <f t="shared" si="35"/>
        <v>0</v>
      </c>
      <c r="GX8" s="18">
        <f t="shared" si="35"/>
        <v>0</v>
      </c>
      <c r="GY8" s="18">
        <f t="shared" si="35"/>
        <v>0</v>
      </c>
      <c r="GZ8" s="18">
        <f t="shared" si="35"/>
        <v>0</v>
      </c>
      <c r="HA8" s="18">
        <f t="shared" si="35"/>
        <v>0</v>
      </c>
      <c r="HB8" s="18">
        <f t="shared" si="35"/>
        <v>0</v>
      </c>
      <c r="HC8" s="18">
        <f t="shared" si="35"/>
        <v>0</v>
      </c>
      <c r="HD8" s="18">
        <f t="shared" si="35"/>
        <v>0</v>
      </c>
      <c r="HE8" s="18">
        <f t="shared" si="35"/>
        <v>0</v>
      </c>
      <c r="HF8" s="18">
        <f t="shared" si="35"/>
        <v>0</v>
      </c>
      <c r="HG8" s="18">
        <f t="shared" si="35"/>
        <v>0</v>
      </c>
      <c r="HH8" s="18">
        <f t="shared" si="35"/>
        <v>0</v>
      </c>
      <c r="HI8" s="18">
        <f t="shared" si="35"/>
        <v>0</v>
      </c>
      <c r="HJ8" s="18">
        <f t="shared" si="35"/>
        <v>0</v>
      </c>
      <c r="HK8" s="18">
        <f t="shared" si="35"/>
        <v>0</v>
      </c>
      <c r="HL8" s="18">
        <f t="shared" si="35"/>
        <v>0</v>
      </c>
      <c r="HM8" s="18">
        <f t="shared" si="35"/>
        <v>0</v>
      </c>
      <c r="HN8" s="18">
        <f t="shared" si="35"/>
        <v>0</v>
      </c>
      <c r="HO8" s="18">
        <f t="shared" si="35"/>
        <v>0</v>
      </c>
      <c r="HP8" s="18">
        <f t="shared" si="35"/>
        <v>0</v>
      </c>
      <c r="HQ8" s="18">
        <f t="shared" si="35"/>
        <v>0</v>
      </c>
      <c r="HR8" s="18">
        <f t="shared" si="35"/>
        <v>0</v>
      </c>
      <c r="HS8" s="18">
        <f t="shared" si="35"/>
        <v>0</v>
      </c>
      <c r="HT8" s="18">
        <f t="shared" si="35"/>
        <v>0</v>
      </c>
      <c r="HU8" s="18">
        <f t="shared" si="35"/>
        <v>0</v>
      </c>
      <c r="HV8" s="18">
        <f t="shared" si="35"/>
        <v>0</v>
      </c>
      <c r="HW8" s="18">
        <f t="shared" si="35"/>
        <v>0</v>
      </c>
      <c r="HX8" s="18">
        <f t="shared" si="35"/>
        <v>0</v>
      </c>
    </row>
    <row r="9" spans="1:232" hidden="1" x14ac:dyDescent="0.2">
      <c r="E9" s="18" t="s">
        <v>127</v>
      </c>
      <c r="F9" s="18" t="s">
        <v>137</v>
      </c>
      <c r="G9" s="18">
        <f>COUNTIFS(G$19:G$75,"=1",$C$19:$C$75,"B",$D$19:$D$75,"5.2",$E$19:$E$75,"Lomitas",$F$19:$F$75,"Medio")</f>
        <v>1</v>
      </c>
      <c r="H9" s="18">
        <f t="shared" ref="H9:BS9" si="36">COUNTIFS(H$19:H$75,"=1",$C$19:$C$75,"B",$D$19:$D$75,"5.2",$E$19:$E$75,"Lomitas",$F$19:$F$75,"Medio")</f>
        <v>1</v>
      </c>
      <c r="I9" s="18">
        <f t="shared" si="36"/>
        <v>1</v>
      </c>
      <c r="J9" s="18">
        <f t="shared" si="36"/>
        <v>1</v>
      </c>
      <c r="K9" s="18">
        <f t="shared" si="36"/>
        <v>1</v>
      </c>
      <c r="L9" s="18">
        <f t="shared" si="36"/>
        <v>1</v>
      </c>
      <c r="M9" s="18">
        <f t="shared" si="36"/>
        <v>1</v>
      </c>
      <c r="N9" s="18">
        <f t="shared" si="36"/>
        <v>1</v>
      </c>
      <c r="O9" s="18">
        <f t="shared" si="36"/>
        <v>1</v>
      </c>
      <c r="P9" s="18">
        <f t="shared" si="36"/>
        <v>1</v>
      </c>
      <c r="Q9" s="18">
        <f t="shared" si="36"/>
        <v>1</v>
      </c>
      <c r="R9" s="18">
        <f t="shared" si="36"/>
        <v>1</v>
      </c>
      <c r="S9" s="18">
        <f t="shared" si="36"/>
        <v>1</v>
      </c>
      <c r="T9" s="18">
        <f t="shared" si="36"/>
        <v>1</v>
      </c>
      <c r="U9" s="18">
        <f t="shared" si="36"/>
        <v>1</v>
      </c>
      <c r="V9" s="18">
        <f t="shared" si="36"/>
        <v>1</v>
      </c>
      <c r="W9" s="18">
        <f t="shared" si="36"/>
        <v>1</v>
      </c>
      <c r="X9" s="18">
        <f t="shared" si="36"/>
        <v>1</v>
      </c>
      <c r="Y9" s="18">
        <f t="shared" si="36"/>
        <v>1</v>
      </c>
      <c r="Z9" s="18">
        <f t="shared" si="36"/>
        <v>1</v>
      </c>
      <c r="AA9" s="18">
        <f t="shared" si="36"/>
        <v>1</v>
      </c>
      <c r="AB9" s="18">
        <f t="shared" si="36"/>
        <v>1</v>
      </c>
      <c r="AC9" s="18">
        <f t="shared" si="36"/>
        <v>1</v>
      </c>
      <c r="AD9" s="18">
        <f t="shared" si="36"/>
        <v>1</v>
      </c>
      <c r="AE9" s="18">
        <f t="shared" si="36"/>
        <v>1</v>
      </c>
      <c r="AF9" s="18">
        <f t="shared" si="36"/>
        <v>1</v>
      </c>
      <c r="AG9" s="18">
        <f t="shared" si="36"/>
        <v>1</v>
      </c>
      <c r="AH9" s="18">
        <f t="shared" si="36"/>
        <v>1</v>
      </c>
      <c r="AI9" s="18">
        <f t="shared" si="36"/>
        <v>1</v>
      </c>
      <c r="AJ9" s="18">
        <f t="shared" si="36"/>
        <v>1</v>
      </c>
      <c r="AK9" s="18">
        <f t="shared" si="36"/>
        <v>1</v>
      </c>
      <c r="AL9" s="18">
        <f t="shared" si="36"/>
        <v>1</v>
      </c>
      <c r="AM9" s="18">
        <f t="shared" si="36"/>
        <v>1</v>
      </c>
      <c r="AN9" s="18">
        <f t="shared" si="36"/>
        <v>1</v>
      </c>
      <c r="AO9" s="18">
        <f t="shared" si="36"/>
        <v>1</v>
      </c>
      <c r="AP9" s="18">
        <f t="shared" si="36"/>
        <v>1</v>
      </c>
      <c r="AQ9" s="18">
        <f t="shared" si="36"/>
        <v>1</v>
      </c>
      <c r="AR9" s="18">
        <f t="shared" si="36"/>
        <v>1</v>
      </c>
      <c r="AS9" s="18">
        <f t="shared" si="36"/>
        <v>1</v>
      </c>
      <c r="AT9" s="18">
        <f t="shared" si="36"/>
        <v>1</v>
      </c>
      <c r="AU9" s="18">
        <f t="shared" si="36"/>
        <v>1</v>
      </c>
      <c r="AV9" s="18">
        <f t="shared" si="36"/>
        <v>1</v>
      </c>
      <c r="AW9" s="18">
        <f t="shared" si="36"/>
        <v>1</v>
      </c>
      <c r="AX9" s="18">
        <f t="shared" si="36"/>
        <v>1</v>
      </c>
      <c r="AY9" s="18">
        <f t="shared" si="36"/>
        <v>1</v>
      </c>
      <c r="AZ9" s="18">
        <f t="shared" si="36"/>
        <v>1</v>
      </c>
      <c r="BA9" s="18">
        <f t="shared" si="36"/>
        <v>3</v>
      </c>
      <c r="BB9" s="18">
        <f t="shared" si="36"/>
        <v>3</v>
      </c>
      <c r="BC9" s="18">
        <f t="shared" si="36"/>
        <v>3</v>
      </c>
      <c r="BD9" s="18">
        <f t="shared" si="36"/>
        <v>3</v>
      </c>
      <c r="BE9" s="18">
        <f t="shared" si="36"/>
        <v>3</v>
      </c>
      <c r="BF9" s="18">
        <f t="shared" si="36"/>
        <v>3</v>
      </c>
      <c r="BG9" s="18">
        <f t="shared" si="36"/>
        <v>3</v>
      </c>
      <c r="BH9" s="18">
        <f t="shared" si="36"/>
        <v>3</v>
      </c>
      <c r="BI9" s="18">
        <f t="shared" si="36"/>
        <v>3</v>
      </c>
      <c r="BJ9" s="18">
        <f t="shared" si="36"/>
        <v>3</v>
      </c>
      <c r="BK9" s="18">
        <f t="shared" si="36"/>
        <v>3</v>
      </c>
      <c r="BL9" s="18">
        <f t="shared" si="36"/>
        <v>3</v>
      </c>
      <c r="BM9" s="18">
        <f t="shared" si="36"/>
        <v>3</v>
      </c>
      <c r="BN9" s="18">
        <f t="shared" si="36"/>
        <v>3</v>
      </c>
      <c r="BO9" s="18">
        <f t="shared" si="36"/>
        <v>3</v>
      </c>
      <c r="BP9" s="18">
        <f t="shared" si="36"/>
        <v>3</v>
      </c>
      <c r="BQ9" s="18">
        <f t="shared" si="36"/>
        <v>3</v>
      </c>
      <c r="BR9" s="18">
        <f t="shared" si="36"/>
        <v>3</v>
      </c>
      <c r="BS9" s="18">
        <f t="shared" si="36"/>
        <v>3</v>
      </c>
      <c r="BT9" s="18">
        <f t="shared" ref="BT9:EE9" si="37">COUNTIFS(BT$19:BT$75,"=1",$C$19:$C$75,"B",$D$19:$D$75,"5.2",$E$19:$E$75,"Lomitas",$F$19:$F$75,"Medio")</f>
        <v>3</v>
      </c>
      <c r="BU9" s="18">
        <f t="shared" si="37"/>
        <v>3</v>
      </c>
      <c r="BV9" s="18">
        <f t="shared" si="37"/>
        <v>3</v>
      </c>
      <c r="BW9" s="18">
        <f t="shared" si="37"/>
        <v>3</v>
      </c>
      <c r="BX9" s="18">
        <f t="shared" si="37"/>
        <v>3</v>
      </c>
      <c r="BY9" s="18">
        <f t="shared" si="37"/>
        <v>3</v>
      </c>
      <c r="BZ9" s="18">
        <f t="shared" si="37"/>
        <v>3</v>
      </c>
      <c r="CA9" s="18">
        <f t="shared" si="37"/>
        <v>3</v>
      </c>
      <c r="CB9" s="18">
        <f t="shared" si="37"/>
        <v>3</v>
      </c>
      <c r="CC9" s="18">
        <f t="shared" si="37"/>
        <v>3</v>
      </c>
      <c r="CD9" s="18">
        <f t="shared" si="37"/>
        <v>3</v>
      </c>
      <c r="CE9" s="18">
        <f t="shared" si="37"/>
        <v>3</v>
      </c>
      <c r="CF9" s="18">
        <f t="shared" si="37"/>
        <v>3</v>
      </c>
      <c r="CG9" s="18">
        <f t="shared" si="37"/>
        <v>3</v>
      </c>
      <c r="CH9" s="18">
        <f t="shared" si="37"/>
        <v>3</v>
      </c>
      <c r="CI9" s="18">
        <f t="shared" si="37"/>
        <v>3</v>
      </c>
      <c r="CJ9" s="18">
        <f t="shared" si="37"/>
        <v>3</v>
      </c>
      <c r="CK9" s="18">
        <f t="shared" si="37"/>
        <v>3</v>
      </c>
      <c r="CL9" s="18">
        <f t="shared" si="37"/>
        <v>3</v>
      </c>
      <c r="CM9" s="18">
        <f t="shared" si="37"/>
        <v>3</v>
      </c>
      <c r="CN9" s="18">
        <f t="shared" si="37"/>
        <v>3</v>
      </c>
      <c r="CO9" s="18">
        <f t="shared" si="37"/>
        <v>3</v>
      </c>
      <c r="CP9" s="18">
        <f t="shared" si="37"/>
        <v>3</v>
      </c>
      <c r="CQ9" s="18">
        <f t="shared" si="37"/>
        <v>3</v>
      </c>
      <c r="CR9" s="18">
        <f t="shared" si="37"/>
        <v>3</v>
      </c>
      <c r="CS9" s="18">
        <f t="shared" si="37"/>
        <v>3</v>
      </c>
      <c r="CT9" s="18">
        <f t="shared" si="37"/>
        <v>3</v>
      </c>
      <c r="CU9" s="18">
        <f t="shared" si="37"/>
        <v>3</v>
      </c>
      <c r="CV9" s="18">
        <f t="shared" si="37"/>
        <v>3</v>
      </c>
      <c r="CW9" s="18">
        <f t="shared" si="37"/>
        <v>3</v>
      </c>
      <c r="CX9" s="18">
        <f t="shared" si="37"/>
        <v>3</v>
      </c>
      <c r="CY9" s="18">
        <f t="shared" si="37"/>
        <v>3</v>
      </c>
      <c r="CZ9" s="18">
        <f t="shared" si="37"/>
        <v>3</v>
      </c>
      <c r="DA9" s="18">
        <f t="shared" si="37"/>
        <v>3</v>
      </c>
      <c r="DB9" s="18">
        <f t="shared" si="37"/>
        <v>3</v>
      </c>
      <c r="DC9" s="18">
        <f t="shared" si="37"/>
        <v>3</v>
      </c>
      <c r="DD9" s="18">
        <f t="shared" si="37"/>
        <v>3</v>
      </c>
      <c r="DE9" s="18">
        <f t="shared" si="37"/>
        <v>3</v>
      </c>
      <c r="DF9" s="18">
        <f t="shared" si="37"/>
        <v>3</v>
      </c>
      <c r="DG9" s="18">
        <f t="shared" si="37"/>
        <v>3</v>
      </c>
      <c r="DH9" s="18">
        <f t="shared" si="37"/>
        <v>3</v>
      </c>
      <c r="DI9" s="18">
        <f t="shared" si="37"/>
        <v>3</v>
      </c>
      <c r="DJ9" s="18">
        <f t="shared" si="37"/>
        <v>3</v>
      </c>
      <c r="DK9" s="18">
        <f t="shared" si="37"/>
        <v>3</v>
      </c>
      <c r="DL9" s="18">
        <f t="shared" si="37"/>
        <v>3</v>
      </c>
      <c r="DM9" s="18">
        <f t="shared" si="37"/>
        <v>3</v>
      </c>
      <c r="DN9" s="18">
        <f t="shared" si="37"/>
        <v>3</v>
      </c>
      <c r="DO9" s="18">
        <f t="shared" si="37"/>
        <v>3</v>
      </c>
      <c r="DP9" s="18">
        <f t="shared" si="37"/>
        <v>3</v>
      </c>
      <c r="DQ9" s="18">
        <f t="shared" si="37"/>
        <v>3</v>
      </c>
      <c r="DR9" s="18">
        <f t="shared" si="37"/>
        <v>3</v>
      </c>
      <c r="DS9" s="18">
        <f t="shared" si="37"/>
        <v>3</v>
      </c>
      <c r="DT9" s="18">
        <f t="shared" si="37"/>
        <v>3</v>
      </c>
      <c r="DU9" s="18">
        <f t="shared" si="37"/>
        <v>3</v>
      </c>
      <c r="DV9" s="18">
        <f t="shared" si="37"/>
        <v>3</v>
      </c>
      <c r="DW9" s="18">
        <f t="shared" si="37"/>
        <v>3</v>
      </c>
      <c r="DX9" s="18">
        <f t="shared" si="37"/>
        <v>3</v>
      </c>
      <c r="DY9" s="18">
        <f t="shared" si="37"/>
        <v>3</v>
      </c>
      <c r="DZ9" s="18">
        <f t="shared" si="37"/>
        <v>3</v>
      </c>
      <c r="EA9" s="18">
        <f t="shared" si="37"/>
        <v>3</v>
      </c>
      <c r="EB9" s="18">
        <f t="shared" si="37"/>
        <v>3</v>
      </c>
      <c r="EC9" s="18">
        <f t="shared" si="37"/>
        <v>3</v>
      </c>
      <c r="ED9" s="18">
        <f t="shared" si="37"/>
        <v>3</v>
      </c>
      <c r="EE9" s="18">
        <f t="shared" si="37"/>
        <v>3</v>
      </c>
      <c r="EF9" s="18">
        <f t="shared" ref="EF9:GQ9" si="38">COUNTIFS(EF$19:EF$75,"=1",$C$19:$C$75,"B",$D$19:$D$75,"5.2",$E$19:$E$75,"Lomitas",$F$19:$F$75,"Medio")</f>
        <v>3</v>
      </c>
      <c r="EG9" s="18">
        <f t="shared" si="38"/>
        <v>3</v>
      </c>
      <c r="EH9" s="18">
        <f t="shared" si="38"/>
        <v>3</v>
      </c>
      <c r="EI9" s="18">
        <f t="shared" si="38"/>
        <v>3</v>
      </c>
      <c r="EJ9" s="18">
        <f t="shared" si="38"/>
        <v>3</v>
      </c>
      <c r="EK9" s="18">
        <f t="shared" si="38"/>
        <v>3</v>
      </c>
      <c r="EL9" s="18">
        <f t="shared" si="38"/>
        <v>3</v>
      </c>
      <c r="EM9" s="18">
        <f t="shared" si="38"/>
        <v>3</v>
      </c>
      <c r="EN9" s="18">
        <f t="shared" si="38"/>
        <v>3</v>
      </c>
      <c r="EO9" s="18">
        <f t="shared" si="38"/>
        <v>3</v>
      </c>
      <c r="EP9" s="18">
        <f t="shared" si="38"/>
        <v>3</v>
      </c>
      <c r="EQ9" s="18">
        <f t="shared" si="38"/>
        <v>3</v>
      </c>
      <c r="ER9" s="18">
        <f t="shared" si="38"/>
        <v>3</v>
      </c>
      <c r="ES9" s="18">
        <f t="shared" si="38"/>
        <v>3</v>
      </c>
      <c r="ET9" s="18">
        <f t="shared" si="38"/>
        <v>3</v>
      </c>
      <c r="EU9" s="18">
        <f t="shared" si="38"/>
        <v>3</v>
      </c>
      <c r="EV9" s="18">
        <f t="shared" si="38"/>
        <v>3</v>
      </c>
      <c r="EW9" s="18">
        <f t="shared" si="38"/>
        <v>3</v>
      </c>
      <c r="EX9" s="18">
        <f t="shared" si="38"/>
        <v>3</v>
      </c>
      <c r="EY9" s="18">
        <f t="shared" si="38"/>
        <v>3</v>
      </c>
      <c r="EZ9" s="18">
        <f t="shared" si="38"/>
        <v>3</v>
      </c>
      <c r="FA9" s="18">
        <f t="shared" si="38"/>
        <v>3</v>
      </c>
      <c r="FB9" s="18">
        <f t="shared" si="38"/>
        <v>3</v>
      </c>
      <c r="FC9" s="18">
        <f t="shared" si="38"/>
        <v>3</v>
      </c>
      <c r="FD9" s="18">
        <f t="shared" si="38"/>
        <v>3</v>
      </c>
      <c r="FE9" s="18">
        <f t="shared" si="38"/>
        <v>3</v>
      </c>
      <c r="FF9" s="18">
        <f t="shared" si="38"/>
        <v>3</v>
      </c>
      <c r="FG9" s="18">
        <f t="shared" si="38"/>
        <v>3</v>
      </c>
      <c r="FH9" s="18">
        <f t="shared" si="38"/>
        <v>3</v>
      </c>
      <c r="FI9" s="18">
        <f t="shared" si="38"/>
        <v>3</v>
      </c>
      <c r="FJ9" s="18">
        <f t="shared" si="38"/>
        <v>3</v>
      </c>
      <c r="FK9" s="18">
        <f t="shared" si="38"/>
        <v>3</v>
      </c>
      <c r="FL9" s="18">
        <f t="shared" si="38"/>
        <v>3</v>
      </c>
      <c r="FM9" s="18">
        <f t="shared" si="38"/>
        <v>3</v>
      </c>
      <c r="FN9" s="18">
        <f t="shared" si="38"/>
        <v>3</v>
      </c>
      <c r="FO9" s="18">
        <f t="shared" si="38"/>
        <v>3</v>
      </c>
      <c r="FP9" s="18">
        <f t="shared" si="38"/>
        <v>3</v>
      </c>
      <c r="FQ9" s="18">
        <f t="shared" si="38"/>
        <v>3</v>
      </c>
      <c r="FR9" s="18">
        <f t="shared" si="38"/>
        <v>3</v>
      </c>
      <c r="FS9" s="18">
        <f t="shared" si="38"/>
        <v>3</v>
      </c>
      <c r="FT9" s="18">
        <f t="shared" si="38"/>
        <v>3</v>
      </c>
      <c r="FU9" s="18">
        <f t="shared" si="38"/>
        <v>3</v>
      </c>
      <c r="FV9" s="18">
        <f t="shared" si="38"/>
        <v>3</v>
      </c>
      <c r="FW9" s="18">
        <f t="shared" si="38"/>
        <v>3</v>
      </c>
      <c r="FX9" s="18">
        <f t="shared" si="38"/>
        <v>3</v>
      </c>
      <c r="FY9" s="18">
        <f t="shared" si="38"/>
        <v>3</v>
      </c>
      <c r="FZ9" s="18">
        <f t="shared" si="38"/>
        <v>3</v>
      </c>
      <c r="GA9" s="18">
        <f t="shared" si="38"/>
        <v>3</v>
      </c>
      <c r="GB9" s="18">
        <f t="shared" si="38"/>
        <v>3</v>
      </c>
      <c r="GC9" s="18">
        <f t="shared" si="38"/>
        <v>3</v>
      </c>
      <c r="GD9" s="18">
        <f t="shared" si="38"/>
        <v>3</v>
      </c>
      <c r="GE9" s="18">
        <f t="shared" si="38"/>
        <v>3</v>
      </c>
      <c r="GF9" s="18">
        <f t="shared" si="38"/>
        <v>3</v>
      </c>
      <c r="GG9" s="18">
        <f t="shared" si="38"/>
        <v>3</v>
      </c>
      <c r="GH9" s="18">
        <f t="shared" si="38"/>
        <v>3</v>
      </c>
      <c r="GI9" s="18">
        <f t="shared" si="38"/>
        <v>3</v>
      </c>
      <c r="GJ9" s="18">
        <f t="shared" si="38"/>
        <v>3</v>
      </c>
      <c r="GK9" s="18">
        <f t="shared" si="38"/>
        <v>3</v>
      </c>
      <c r="GL9" s="18">
        <f t="shared" si="38"/>
        <v>3</v>
      </c>
      <c r="GM9" s="18">
        <f t="shared" si="38"/>
        <v>3</v>
      </c>
      <c r="GN9" s="18">
        <f t="shared" si="38"/>
        <v>3</v>
      </c>
      <c r="GO9" s="18">
        <f t="shared" si="38"/>
        <v>3</v>
      </c>
      <c r="GP9" s="18">
        <f t="shared" si="38"/>
        <v>3</v>
      </c>
      <c r="GQ9" s="18">
        <f t="shared" si="38"/>
        <v>3</v>
      </c>
      <c r="GR9" s="18">
        <f t="shared" ref="GR9:HX9" si="39">COUNTIFS(GR$19:GR$75,"=1",$C$19:$C$75,"B",$D$19:$D$75,"5.2",$E$19:$E$75,"Lomitas",$F$19:$F$75,"Medio")</f>
        <v>3</v>
      </c>
      <c r="GS9" s="18">
        <f t="shared" si="39"/>
        <v>3</v>
      </c>
      <c r="GT9" s="18">
        <f t="shared" si="39"/>
        <v>3</v>
      </c>
      <c r="GU9" s="18">
        <f t="shared" si="39"/>
        <v>3</v>
      </c>
      <c r="GV9" s="18">
        <f t="shared" si="39"/>
        <v>3</v>
      </c>
      <c r="GW9" s="18">
        <f t="shared" si="39"/>
        <v>3</v>
      </c>
      <c r="GX9" s="18">
        <f t="shared" si="39"/>
        <v>3</v>
      </c>
      <c r="GY9" s="18">
        <f t="shared" si="39"/>
        <v>3</v>
      </c>
      <c r="GZ9" s="18">
        <f t="shared" si="39"/>
        <v>3</v>
      </c>
      <c r="HA9" s="18">
        <f t="shared" si="39"/>
        <v>3</v>
      </c>
      <c r="HB9" s="18">
        <f t="shared" si="39"/>
        <v>3</v>
      </c>
      <c r="HC9" s="18">
        <f t="shared" si="39"/>
        <v>3</v>
      </c>
      <c r="HD9" s="18">
        <f t="shared" si="39"/>
        <v>3</v>
      </c>
      <c r="HE9" s="18">
        <f t="shared" si="39"/>
        <v>3</v>
      </c>
      <c r="HF9" s="18">
        <f t="shared" si="39"/>
        <v>3</v>
      </c>
      <c r="HG9" s="18">
        <f t="shared" si="39"/>
        <v>3</v>
      </c>
      <c r="HH9" s="18">
        <f t="shared" si="39"/>
        <v>3</v>
      </c>
      <c r="HI9" s="18">
        <f t="shared" si="39"/>
        <v>3</v>
      </c>
      <c r="HJ9" s="18">
        <f t="shared" si="39"/>
        <v>3</v>
      </c>
      <c r="HK9" s="18">
        <f t="shared" si="39"/>
        <v>3</v>
      </c>
      <c r="HL9" s="18">
        <f t="shared" si="39"/>
        <v>3</v>
      </c>
      <c r="HM9" s="18">
        <f t="shared" si="39"/>
        <v>3</v>
      </c>
      <c r="HN9" s="18">
        <f t="shared" si="39"/>
        <v>3</v>
      </c>
      <c r="HO9" s="18">
        <f t="shared" si="39"/>
        <v>3</v>
      </c>
      <c r="HP9" s="18">
        <f t="shared" si="39"/>
        <v>3</v>
      </c>
      <c r="HQ9" s="18">
        <f t="shared" si="39"/>
        <v>3</v>
      </c>
      <c r="HR9" s="18">
        <f t="shared" si="39"/>
        <v>3</v>
      </c>
      <c r="HS9" s="18">
        <f t="shared" si="39"/>
        <v>3</v>
      </c>
      <c r="HT9" s="18">
        <f t="shared" si="39"/>
        <v>3</v>
      </c>
      <c r="HU9" s="18">
        <f t="shared" si="39"/>
        <v>3</v>
      </c>
      <c r="HV9" s="18">
        <f t="shared" si="39"/>
        <v>3</v>
      </c>
      <c r="HW9" s="18">
        <f t="shared" si="39"/>
        <v>3</v>
      </c>
      <c r="HX9" s="18">
        <f t="shared" si="39"/>
        <v>3</v>
      </c>
    </row>
    <row r="10" spans="1:232" hidden="1" x14ac:dyDescent="0.2">
      <c r="E10" s="18" t="s">
        <v>127</v>
      </c>
      <c r="F10" s="18" t="s">
        <v>138</v>
      </c>
      <c r="G10" s="18">
        <f>COUNTIFS(G$19:G$75,"=1",$C$19:$C$75,"B",$D$19:$D$75,"5.2",$E$19:$E$75,"Lomitas",$F$19:$F$75,"Mar")</f>
        <v>12</v>
      </c>
      <c r="H10" s="18">
        <f t="shared" ref="H10:BS10" si="40">COUNTIFS(H$19:H$75,"=1",$C$19:$C$75,"B",$D$19:$D$75,"5.2",$E$19:$E$75,"Lomitas",$F$19:$F$75,"Mar")</f>
        <v>12</v>
      </c>
      <c r="I10" s="18">
        <f t="shared" si="40"/>
        <v>12</v>
      </c>
      <c r="J10" s="18">
        <f t="shared" si="40"/>
        <v>12</v>
      </c>
      <c r="K10" s="18">
        <f t="shared" si="40"/>
        <v>12</v>
      </c>
      <c r="L10" s="18">
        <f t="shared" si="40"/>
        <v>12</v>
      </c>
      <c r="M10" s="18">
        <f t="shared" si="40"/>
        <v>12</v>
      </c>
      <c r="N10" s="18">
        <f t="shared" si="40"/>
        <v>12</v>
      </c>
      <c r="O10" s="18">
        <f t="shared" si="40"/>
        <v>12</v>
      </c>
      <c r="P10" s="18">
        <f t="shared" si="40"/>
        <v>12</v>
      </c>
      <c r="Q10" s="18">
        <f t="shared" si="40"/>
        <v>12</v>
      </c>
      <c r="R10" s="18">
        <f t="shared" si="40"/>
        <v>12</v>
      </c>
      <c r="S10" s="18">
        <f t="shared" si="40"/>
        <v>12</v>
      </c>
      <c r="T10" s="18">
        <f t="shared" si="40"/>
        <v>12</v>
      </c>
      <c r="U10" s="18">
        <f t="shared" si="40"/>
        <v>12</v>
      </c>
      <c r="V10" s="18">
        <f t="shared" si="40"/>
        <v>12</v>
      </c>
      <c r="W10" s="18">
        <f t="shared" si="40"/>
        <v>12</v>
      </c>
      <c r="X10" s="18">
        <f t="shared" si="40"/>
        <v>12</v>
      </c>
      <c r="Y10" s="18">
        <f t="shared" si="40"/>
        <v>12</v>
      </c>
      <c r="Z10" s="18">
        <f t="shared" si="40"/>
        <v>12</v>
      </c>
      <c r="AA10" s="18">
        <f t="shared" si="40"/>
        <v>12</v>
      </c>
      <c r="AB10" s="18">
        <f t="shared" si="40"/>
        <v>12</v>
      </c>
      <c r="AC10" s="18">
        <f t="shared" si="40"/>
        <v>12</v>
      </c>
      <c r="AD10" s="18">
        <f t="shared" si="40"/>
        <v>12</v>
      </c>
      <c r="AE10" s="18">
        <f t="shared" si="40"/>
        <v>12</v>
      </c>
      <c r="AF10" s="18">
        <f t="shared" si="40"/>
        <v>12</v>
      </c>
      <c r="AG10" s="18">
        <f t="shared" si="40"/>
        <v>12</v>
      </c>
      <c r="AH10" s="18">
        <f t="shared" si="40"/>
        <v>12</v>
      </c>
      <c r="AI10" s="18">
        <f t="shared" si="40"/>
        <v>12</v>
      </c>
      <c r="AJ10" s="18">
        <f t="shared" si="40"/>
        <v>12</v>
      </c>
      <c r="AK10" s="18">
        <f t="shared" si="40"/>
        <v>12</v>
      </c>
      <c r="AL10" s="18">
        <f t="shared" si="40"/>
        <v>12</v>
      </c>
      <c r="AM10" s="18">
        <f t="shared" si="40"/>
        <v>12</v>
      </c>
      <c r="AN10" s="18">
        <f t="shared" si="40"/>
        <v>12</v>
      </c>
      <c r="AO10" s="18">
        <f t="shared" si="40"/>
        <v>12</v>
      </c>
      <c r="AP10" s="18">
        <f t="shared" si="40"/>
        <v>12</v>
      </c>
      <c r="AQ10" s="18">
        <f t="shared" si="40"/>
        <v>12</v>
      </c>
      <c r="AR10" s="18">
        <f t="shared" si="40"/>
        <v>12</v>
      </c>
      <c r="AS10" s="18">
        <f t="shared" si="40"/>
        <v>12</v>
      </c>
      <c r="AT10" s="18">
        <f t="shared" si="40"/>
        <v>12</v>
      </c>
      <c r="AU10" s="18">
        <f t="shared" si="40"/>
        <v>12</v>
      </c>
      <c r="AV10" s="18">
        <f t="shared" si="40"/>
        <v>12</v>
      </c>
      <c r="AW10" s="18">
        <f t="shared" si="40"/>
        <v>12</v>
      </c>
      <c r="AX10" s="18">
        <f t="shared" si="40"/>
        <v>12</v>
      </c>
      <c r="AY10" s="18">
        <f t="shared" si="40"/>
        <v>12</v>
      </c>
      <c r="AZ10" s="18">
        <f t="shared" si="40"/>
        <v>12</v>
      </c>
      <c r="BA10" s="18">
        <f t="shared" si="40"/>
        <v>12</v>
      </c>
      <c r="BB10" s="18">
        <f t="shared" si="40"/>
        <v>12</v>
      </c>
      <c r="BC10" s="18">
        <f t="shared" si="40"/>
        <v>12</v>
      </c>
      <c r="BD10" s="18">
        <f t="shared" si="40"/>
        <v>12</v>
      </c>
      <c r="BE10" s="18">
        <f t="shared" si="40"/>
        <v>12</v>
      </c>
      <c r="BF10" s="18">
        <f t="shared" si="40"/>
        <v>12</v>
      </c>
      <c r="BG10" s="18">
        <f t="shared" si="40"/>
        <v>12</v>
      </c>
      <c r="BH10" s="18">
        <f t="shared" si="40"/>
        <v>12</v>
      </c>
      <c r="BI10" s="18">
        <f t="shared" si="40"/>
        <v>12</v>
      </c>
      <c r="BJ10" s="18">
        <f t="shared" si="40"/>
        <v>12</v>
      </c>
      <c r="BK10" s="18">
        <f t="shared" si="40"/>
        <v>12</v>
      </c>
      <c r="BL10" s="18">
        <f t="shared" si="40"/>
        <v>12</v>
      </c>
      <c r="BM10" s="18">
        <f t="shared" si="40"/>
        <v>12</v>
      </c>
      <c r="BN10" s="18">
        <f t="shared" si="40"/>
        <v>12</v>
      </c>
      <c r="BO10" s="18">
        <f t="shared" si="40"/>
        <v>12</v>
      </c>
      <c r="BP10" s="18">
        <f t="shared" si="40"/>
        <v>12</v>
      </c>
      <c r="BQ10" s="18">
        <f t="shared" si="40"/>
        <v>12</v>
      </c>
      <c r="BR10" s="18">
        <f t="shared" si="40"/>
        <v>12</v>
      </c>
      <c r="BS10" s="18">
        <f t="shared" si="40"/>
        <v>12</v>
      </c>
      <c r="BT10" s="18">
        <f t="shared" ref="BT10:EE10" si="41">COUNTIFS(BT$19:BT$75,"=1",$C$19:$C$75,"B",$D$19:$D$75,"5.2",$E$19:$E$75,"Lomitas",$F$19:$F$75,"Mar")</f>
        <v>12</v>
      </c>
      <c r="BU10" s="18">
        <f t="shared" si="41"/>
        <v>12</v>
      </c>
      <c r="BV10" s="18">
        <f t="shared" si="41"/>
        <v>12</v>
      </c>
      <c r="BW10" s="18">
        <f t="shared" si="41"/>
        <v>12</v>
      </c>
      <c r="BX10" s="18">
        <f t="shared" si="41"/>
        <v>12</v>
      </c>
      <c r="BY10" s="18">
        <f t="shared" si="41"/>
        <v>12</v>
      </c>
      <c r="BZ10" s="18">
        <f t="shared" si="41"/>
        <v>12</v>
      </c>
      <c r="CA10" s="18">
        <f t="shared" si="41"/>
        <v>12</v>
      </c>
      <c r="CB10" s="18">
        <f t="shared" si="41"/>
        <v>12</v>
      </c>
      <c r="CC10" s="18">
        <f t="shared" si="41"/>
        <v>12</v>
      </c>
      <c r="CD10" s="18">
        <f t="shared" si="41"/>
        <v>12</v>
      </c>
      <c r="CE10" s="18">
        <f t="shared" si="41"/>
        <v>12</v>
      </c>
      <c r="CF10" s="18">
        <f t="shared" si="41"/>
        <v>12</v>
      </c>
      <c r="CG10" s="18">
        <f t="shared" si="41"/>
        <v>12</v>
      </c>
      <c r="CH10" s="18">
        <f t="shared" si="41"/>
        <v>12</v>
      </c>
      <c r="CI10" s="18">
        <f t="shared" si="41"/>
        <v>12</v>
      </c>
      <c r="CJ10" s="18">
        <f t="shared" si="41"/>
        <v>12</v>
      </c>
      <c r="CK10" s="18">
        <f t="shared" si="41"/>
        <v>12</v>
      </c>
      <c r="CL10" s="18">
        <f t="shared" si="41"/>
        <v>12</v>
      </c>
      <c r="CM10" s="18">
        <f t="shared" si="41"/>
        <v>12</v>
      </c>
      <c r="CN10" s="18">
        <f t="shared" si="41"/>
        <v>12</v>
      </c>
      <c r="CO10" s="18">
        <f t="shared" si="41"/>
        <v>12</v>
      </c>
      <c r="CP10" s="18">
        <f t="shared" si="41"/>
        <v>12</v>
      </c>
      <c r="CQ10" s="18">
        <f t="shared" si="41"/>
        <v>12</v>
      </c>
      <c r="CR10" s="18">
        <f t="shared" si="41"/>
        <v>12</v>
      </c>
      <c r="CS10" s="18">
        <f t="shared" si="41"/>
        <v>12</v>
      </c>
      <c r="CT10" s="18">
        <f t="shared" si="41"/>
        <v>12</v>
      </c>
      <c r="CU10" s="18">
        <f t="shared" si="41"/>
        <v>12</v>
      </c>
      <c r="CV10" s="18">
        <f t="shared" si="41"/>
        <v>12</v>
      </c>
      <c r="CW10" s="18">
        <f t="shared" si="41"/>
        <v>12</v>
      </c>
      <c r="CX10" s="18">
        <f t="shared" si="41"/>
        <v>12</v>
      </c>
      <c r="CY10" s="18">
        <f t="shared" si="41"/>
        <v>12</v>
      </c>
      <c r="CZ10" s="18">
        <f t="shared" si="41"/>
        <v>12</v>
      </c>
      <c r="DA10" s="18">
        <f t="shared" si="41"/>
        <v>12</v>
      </c>
      <c r="DB10" s="18">
        <f t="shared" si="41"/>
        <v>12</v>
      </c>
      <c r="DC10" s="18">
        <f t="shared" si="41"/>
        <v>12</v>
      </c>
      <c r="DD10" s="18">
        <f t="shared" si="41"/>
        <v>12</v>
      </c>
      <c r="DE10" s="18">
        <f t="shared" si="41"/>
        <v>12</v>
      </c>
      <c r="DF10" s="18">
        <f t="shared" si="41"/>
        <v>12</v>
      </c>
      <c r="DG10" s="18">
        <f t="shared" si="41"/>
        <v>12</v>
      </c>
      <c r="DH10" s="18">
        <f t="shared" si="41"/>
        <v>12</v>
      </c>
      <c r="DI10" s="18">
        <f t="shared" si="41"/>
        <v>12</v>
      </c>
      <c r="DJ10" s="18">
        <f t="shared" si="41"/>
        <v>12</v>
      </c>
      <c r="DK10" s="18">
        <f t="shared" si="41"/>
        <v>12</v>
      </c>
      <c r="DL10" s="18">
        <f t="shared" si="41"/>
        <v>12</v>
      </c>
      <c r="DM10" s="18">
        <f t="shared" si="41"/>
        <v>12</v>
      </c>
      <c r="DN10" s="18">
        <f t="shared" si="41"/>
        <v>12</v>
      </c>
      <c r="DO10" s="18">
        <f t="shared" si="41"/>
        <v>12</v>
      </c>
      <c r="DP10" s="18">
        <f t="shared" si="41"/>
        <v>12</v>
      </c>
      <c r="DQ10" s="18">
        <f t="shared" si="41"/>
        <v>12</v>
      </c>
      <c r="DR10" s="18">
        <f t="shared" si="41"/>
        <v>12</v>
      </c>
      <c r="DS10" s="18">
        <f t="shared" si="41"/>
        <v>12</v>
      </c>
      <c r="DT10" s="18">
        <f t="shared" si="41"/>
        <v>12</v>
      </c>
      <c r="DU10" s="18">
        <f t="shared" si="41"/>
        <v>12</v>
      </c>
      <c r="DV10" s="18">
        <f t="shared" si="41"/>
        <v>12</v>
      </c>
      <c r="DW10" s="18">
        <f t="shared" si="41"/>
        <v>12</v>
      </c>
      <c r="DX10" s="18">
        <f t="shared" si="41"/>
        <v>12</v>
      </c>
      <c r="DY10" s="18">
        <f t="shared" si="41"/>
        <v>12</v>
      </c>
      <c r="DZ10" s="18">
        <f t="shared" si="41"/>
        <v>12</v>
      </c>
      <c r="EA10" s="18">
        <f t="shared" si="41"/>
        <v>12</v>
      </c>
      <c r="EB10" s="18">
        <f t="shared" si="41"/>
        <v>12</v>
      </c>
      <c r="EC10" s="18">
        <f t="shared" si="41"/>
        <v>12</v>
      </c>
      <c r="ED10" s="18">
        <f t="shared" si="41"/>
        <v>12</v>
      </c>
      <c r="EE10" s="18">
        <f t="shared" si="41"/>
        <v>12</v>
      </c>
      <c r="EF10" s="18">
        <f t="shared" ref="EF10:GQ10" si="42">COUNTIFS(EF$19:EF$75,"=1",$C$19:$C$75,"B",$D$19:$D$75,"5.2",$E$19:$E$75,"Lomitas",$F$19:$F$75,"Mar")</f>
        <v>12</v>
      </c>
      <c r="EG10" s="18">
        <f t="shared" si="42"/>
        <v>12</v>
      </c>
      <c r="EH10" s="18">
        <f t="shared" si="42"/>
        <v>12</v>
      </c>
      <c r="EI10" s="18">
        <f t="shared" si="42"/>
        <v>12</v>
      </c>
      <c r="EJ10" s="18">
        <f t="shared" si="42"/>
        <v>12</v>
      </c>
      <c r="EK10" s="18">
        <f t="shared" si="42"/>
        <v>12</v>
      </c>
      <c r="EL10" s="18">
        <f t="shared" si="42"/>
        <v>12</v>
      </c>
      <c r="EM10" s="18">
        <f t="shared" si="42"/>
        <v>12</v>
      </c>
      <c r="EN10" s="18">
        <f t="shared" si="42"/>
        <v>12</v>
      </c>
      <c r="EO10" s="18">
        <f t="shared" si="42"/>
        <v>12</v>
      </c>
      <c r="EP10" s="18">
        <f t="shared" si="42"/>
        <v>12</v>
      </c>
      <c r="EQ10" s="18">
        <f t="shared" si="42"/>
        <v>12</v>
      </c>
      <c r="ER10" s="18">
        <f t="shared" si="42"/>
        <v>12</v>
      </c>
      <c r="ES10" s="18">
        <f t="shared" si="42"/>
        <v>12</v>
      </c>
      <c r="ET10" s="18">
        <f t="shared" si="42"/>
        <v>12</v>
      </c>
      <c r="EU10" s="18">
        <f t="shared" si="42"/>
        <v>12</v>
      </c>
      <c r="EV10" s="18">
        <f t="shared" si="42"/>
        <v>12</v>
      </c>
      <c r="EW10" s="18">
        <f t="shared" si="42"/>
        <v>12</v>
      </c>
      <c r="EX10" s="18">
        <f t="shared" si="42"/>
        <v>12</v>
      </c>
      <c r="EY10" s="18">
        <f t="shared" si="42"/>
        <v>12</v>
      </c>
      <c r="EZ10" s="18">
        <f t="shared" si="42"/>
        <v>12</v>
      </c>
      <c r="FA10" s="18">
        <f t="shared" si="42"/>
        <v>12</v>
      </c>
      <c r="FB10" s="18">
        <f t="shared" si="42"/>
        <v>12</v>
      </c>
      <c r="FC10" s="18">
        <f t="shared" si="42"/>
        <v>12</v>
      </c>
      <c r="FD10" s="18">
        <f t="shared" si="42"/>
        <v>12</v>
      </c>
      <c r="FE10" s="18">
        <f t="shared" si="42"/>
        <v>12</v>
      </c>
      <c r="FF10" s="18">
        <f t="shared" si="42"/>
        <v>12</v>
      </c>
      <c r="FG10" s="18">
        <f t="shared" si="42"/>
        <v>12</v>
      </c>
      <c r="FH10" s="18">
        <f t="shared" si="42"/>
        <v>12</v>
      </c>
      <c r="FI10" s="18">
        <f t="shared" si="42"/>
        <v>12</v>
      </c>
      <c r="FJ10" s="18">
        <f t="shared" si="42"/>
        <v>12</v>
      </c>
      <c r="FK10" s="18">
        <f t="shared" si="42"/>
        <v>12</v>
      </c>
      <c r="FL10" s="18">
        <f t="shared" si="42"/>
        <v>12</v>
      </c>
      <c r="FM10" s="18">
        <f t="shared" si="42"/>
        <v>12</v>
      </c>
      <c r="FN10" s="18">
        <f t="shared" si="42"/>
        <v>12</v>
      </c>
      <c r="FO10" s="18">
        <f t="shared" si="42"/>
        <v>12</v>
      </c>
      <c r="FP10" s="18">
        <f t="shared" si="42"/>
        <v>12</v>
      </c>
      <c r="FQ10" s="18">
        <f t="shared" si="42"/>
        <v>12</v>
      </c>
      <c r="FR10" s="18">
        <f t="shared" si="42"/>
        <v>12</v>
      </c>
      <c r="FS10" s="18">
        <f t="shared" si="42"/>
        <v>12</v>
      </c>
      <c r="FT10" s="18">
        <f t="shared" si="42"/>
        <v>12</v>
      </c>
      <c r="FU10" s="18">
        <f t="shared" si="42"/>
        <v>12</v>
      </c>
      <c r="FV10" s="18">
        <f t="shared" si="42"/>
        <v>12</v>
      </c>
      <c r="FW10" s="18">
        <f t="shared" si="42"/>
        <v>12</v>
      </c>
      <c r="FX10" s="18">
        <f t="shared" si="42"/>
        <v>12</v>
      </c>
      <c r="FY10" s="18">
        <f t="shared" si="42"/>
        <v>12</v>
      </c>
      <c r="FZ10" s="18">
        <f t="shared" si="42"/>
        <v>12</v>
      </c>
      <c r="GA10" s="18">
        <f t="shared" si="42"/>
        <v>12</v>
      </c>
      <c r="GB10" s="18">
        <f t="shared" si="42"/>
        <v>12</v>
      </c>
      <c r="GC10" s="18">
        <f t="shared" si="42"/>
        <v>12</v>
      </c>
      <c r="GD10" s="18">
        <f t="shared" si="42"/>
        <v>12</v>
      </c>
      <c r="GE10" s="18">
        <f t="shared" si="42"/>
        <v>12</v>
      </c>
      <c r="GF10" s="18">
        <f t="shared" si="42"/>
        <v>12</v>
      </c>
      <c r="GG10" s="18">
        <f t="shared" si="42"/>
        <v>12</v>
      </c>
      <c r="GH10" s="18">
        <f t="shared" si="42"/>
        <v>12</v>
      </c>
      <c r="GI10" s="18">
        <f t="shared" si="42"/>
        <v>12</v>
      </c>
      <c r="GJ10" s="18">
        <f t="shared" si="42"/>
        <v>12</v>
      </c>
      <c r="GK10" s="18">
        <f t="shared" si="42"/>
        <v>12</v>
      </c>
      <c r="GL10" s="18">
        <f t="shared" si="42"/>
        <v>12</v>
      </c>
      <c r="GM10" s="18">
        <f t="shared" si="42"/>
        <v>12</v>
      </c>
      <c r="GN10" s="18">
        <f t="shared" si="42"/>
        <v>12</v>
      </c>
      <c r="GO10" s="18">
        <f t="shared" si="42"/>
        <v>12</v>
      </c>
      <c r="GP10" s="18">
        <f t="shared" si="42"/>
        <v>12</v>
      </c>
      <c r="GQ10" s="18">
        <f t="shared" si="42"/>
        <v>12</v>
      </c>
      <c r="GR10" s="18">
        <f t="shared" ref="GR10:HX10" si="43">COUNTIFS(GR$19:GR$75,"=1",$C$19:$C$75,"B",$D$19:$D$75,"5.2",$E$19:$E$75,"Lomitas",$F$19:$F$75,"Mar")</f>
        <v>12</v>
      </c>
      <c r="GS10" s="18">
        <f t="shared" si="43"/>
        <v>12</v>
      </c>
      <c r="GT10" s="18">
        <f t="shared" si="43"/>
        <v>12</v>
      </c>
      <c r="GU10" s="18">
        <f t="shared" si="43"/>
        <v>12</v>
      </c>
      <c r="GV10" s="18">
        <f t="shared" si="43"/>
        <v>12</v>
      </c>
      <c r="GW10" s="18">
        <f t="shared" si="43"/>
        <v>12</v>
      </c>
      <c r="GX10" s="18">
        <f t="shared" si="43"/>
        <v>12</v>
      </c>
      <c r="GY10" s="18">
        <f t="shared" si="43"/>
        <v>12</v>
      </c>
      <c r="GZ10" s="18">
        <f t="shared" si="43"/>
        <v>12</v>
      </c>
      <c r="HA10" s="18">
        <f t="shared" si="43"/>
        <v>12</v>
      </c>
      <c r="HB10" s="18">
        <f t="shared" si="43"/>
        <v>12</v>
      </c>
      <c r="HC10" s="18">
        <f t="shared" si="43"/>
        <v>12</v>
      </c>
      <c r="HD10" s="18">
        <f t="shared" si="43"/>
        <v>12</v>
      </c>
      <c r="HE10" s="18">
        <f t="shared" si="43"/>
        <v>12</v>
      </c>
      <c r="HF10" s="18">
        <f t="shared" si="43"/>
        <v>12</v>
      </c>
      <c r="HG10" s="18">
        <f t="shared" si="43"/>
        <v>12</v>
      </c>
      <c r="HH10" s="18">
        <f t="shared" si="43"/>
        <v>12</v>
      </c>
      <c r="HI10" s="18">
        <f t="shared" si="43"/>
        <v>12</v>
      </c>
      <c r="HJ10" s="18">
        <f t="shared" si="43"/>
        <v>12</v>
      </c>
      <c r="HK10" s="18">
        <f t="shared" si="43"/>
        <v>12</v>
      </c>
      <c r="HL10" s="18">
        <f t="shared" si="43"/>
        <v>12</v>
      </c>
      <c r="HM10" s="18">
        <f t="shared" si="43"/>
        <v>12</v>
      </c>
      <c r="HN10" s="18">
        <f t="shared" si="43"/>
        <v>12</v>
      </c>
      <c r="HO10" s="18">
        <f t="shared" si="43"/>
        <v>12</v>
      </c>
      <c r="HP10" s="18">
        <f t="shared" si="43"/>
        <v>12</v>
      </c>
      <c r="HQ10" s="18">
        <f t="shared" si="43"/>
        <v>12</v>
      </c>
      <c r="HR10" s="18">
        <f t="shared" si="43"/>
        <v>12</v>
      </c>
      <c r="HS10" s="18">
        <f t="shared" si="43"/>
        <v>12</v>
      </c>
      <c r="HT10" s="18">
        <f t="shared" si="43"/>
        <v>12</v>
      </c>
      <c r="HU10" s="18">
        <f t="shared" si="43"/>
        <v>12</v>
      </c>
      <c r="HV10" s="18">
        <f t="shared" si="43"/>
        <v>12</v>
      </c>
      <c r="HW10" s="18">
        <f t="shared" si="43"/>
        <v>12</v>
      </c>
      <c r="HX10" s="18">
        <f t="shared" si="43"/>
        <v>12</v>
      </c>
    </row>
    <row r="11" spans="1:232" hidden="1" x14ac:dyDescent="0.2">
      <c r="E11" s="18" t="s">
        <v>127</v>
      </c>
      <c r="F11" s="18" t="s">
        <v>139</v>
      </c>
      <c r="G11" s="18">
        <f>COUNTIFS(G$19:G$75,"=1",$C$19:$C$75,"B",$D$19:$D$75,"5.0",$E$19:$E$75,"Lomitas",$F$19:$F$75,"Cerro")</f>
        <v>1</v>
      </c>
      <c r="H11" s="18">
        <f t="shared" ref="H11:BS11" si="44">COUNTIFS(H$19:H$75,"=1",$C$19:$C$75,"B",$D$19:$D$75,"5.0",$E$19:$E$75,"Lomitas",$F$19:$F$75,"Cerro")</f>
        <v>1</v>
      </c>
      <c r="I11" s="18">
        <f t="shared" si="44"/>
        <v>1</v>
      </c>
      <c r="J11" s="18">
        <f t="shared" si="44"/>
        <v>1</v>
      </c>
      <c r="K11" s="18">
        <f t="shared" si="44"/>
        <v>1</v>
      </c>
      <c r="L11" s="18">
        <f t="shared" si="44"/>
        <v>1</v>
      </c>
      <c r="M11" s="18">
        <f t="shared" si="44"/>
        <v>1</v>
      </c>
      <c r="N11" s="18">
        <f t="shared" si="44"/>
        <v>1</v>
      </c>
      <c r="O11" s="18">
        <f t="shared" si="44"/>
        <v>1</v>
      </c>
      <c r="P11" s="18">
        <f t="shared" si="44"/>
        <v>1</v>
      </c>
      <c r="Q11" s="18">
        <f t="shared" si="44"/>
        <v>1</v>
      </c>
      <c r="R11" s="18">
        <f t="shared" si="44"/>
        <v>1</v>
      </c>
      <c r="S11" s="18">
        <f t="shared" si="44"/>
        <v>1</v>
      </c>
      <c r="T11" s="18">
        <f t="shared" si="44"/>
        <v>1</v>
      </c>
      <c r="U11" s="18">
        <f t="shared" si="44"/>
        <v>1</v>
      </c>
      <c r="V11" s="18">
        <f t="shared" si="44"/>
        <v>1</v>
      </c>
      <c r="W11" s="18">
        <f t="shared" si="44"/>
        <v>1</v>
      </c>
      <c r="X11" s="18">
        <f t="shared" si="44"/>
        <v>1</v>
      </c>
      <c r="Y11" s="18">
        <f t="shared" si="44"/>
        <v>1</v>
      </c>
      <c r="Z11" s="18">
        <f t="shared" si="44"/>
        <v>1</v>
      </c>
      <c r="AA11" s="18">
        <f t="shared" si="44"/>
        <v>1</v>
      </c>
      <c r="AB11" s="18">
        <f t="shared" si="44"/>
        <v>1</v>
      </c>
      <c r="AC11" s="18">
        <f t="shared" si="44"/>
        <v>1</v>
      </c>
      <c r="AD11" s="18">
        <f t="shared" si="44"/>
        <v>1</v>
      </c>
      <c r="AE11" s="18">
        <f t="shared" si="44"/>
        <v>1</v>
      </c>
      <c r="AF11" s="18">
        <f t="shared" si="44"/>
        <v>1</v>
      </c>
      <c r="AG11" s="18">
        <f t="shared" si="44"/>
        <v>1</v>
      </c>
      <c r="AH11" s="18">
        <f t="shared" si="44"/>
        <v>1</v>
      </c>
      <c r="AI11" s="18">
        <f t="shared" si="44"/>
        <v>1</v>
      </c>
      <c r="AJ11" s="18">
        <f t="shared" si="44"/>
        <v>1</v>
      </c>
      <c r="AK11" s="18">
        <f t="shared" si="44"/>
        <v>1</v>
      </c>
      <c r="AL11" s="18">
        <f t="shared" si="44"/>
        <v>1</v>
      </c>
      <c r="AM11" s="18">
        <f t="shared" si="44"/>
        <v>1</v>
      </c>
      <c r="AN11" s="18">
        <f t="shared" si="44"/>
        <v>1</v>
      </c>
      <c r="AO11" s="18">
        <f t="shared" si="44"/>
        <v>1</v>
      </c>
      <c r="AP11" s="18">
        <f t="shared" si="44"/>
        <v>1</v>
      </c>
      <c r="AQ11" s="18">
        <f t="shared" si="44"/>
        <v>1</v>
      </c>
      <c r="AR11" s="18">
        <f t="shared" si="44"/>
        <v>1</v>
      </c>
      <c r="AS11" s="18">
        <f t="shared" si="44"/>
        <v>1</v>
      </c>
      <c r="AT11" s="18">
        <f t="shared" si="44"/>
        <v>1</v>
      </c>
      <c r="AU11" s="18">
        <f t="shared" si="44"/>
        <v>1</v>
      </c>
      <c r="AV11" s="18">
        <f t="shared" si="44"/>
        <v>1</v>
      </c>
      <c r="AW11" s="18">
        <f t="shared" si="44"/>
        <v>1</v>
      </c>
      <c r="AX11" s="18">
        <f t="shared" si="44"/>
        <v>1</v>
      </c>
      <c r="AY11" s="18">
        <f t="shared" si="44"/>
        <v>1</v>
      </c>
      <c r="AZ11" s="18">
        <f t="shared" si="44"/>
        <v>1</v>
      </c>
      <c r="BA11" s="18">
        <f t="shared" si="44"/>
        <v>1</v>
      </c>
      <c r="BB11" s="18">
        <f t="shared" si="44"/>
        <v>1</v>
      </c>
      <c r="BC11" s="18">
        <f t="shared" si="44"/>
        <v>1</v>
      </c>
      <c r="BD11" s="18">
        <f t="shared" si="44"/>
        <v>1</v>
      </c>
      <c r="BE11" s="18">
        <f t="shared" si="44"/>
        <v>1</v>
      </c>
      <c r="BF11" s="18">
        <f t="shared" si="44"/>
        <v>1</v>
      </c>
      <c r="BG11" s="18">
        <f t="shared" si="44"/>
        <v>1</v>
      </c>
      <c r="BH11" s="18">
        <f t="shared" si="44"/>
        <v>1</v>
      </c>
      <c r="BI11" s="18">
        <f t="shared" si="44"/>
        <v>1</v>
      </c>
      <c r="BJ11" s="18">
        <f t="shared" si="44"/>
        <v>1</v>
      </c>
      <c r="BK11" s="18">
        <f t="shared" si="44"/>
        <v>1</v>
      </c>
      <c r="BL11" s="18">
        <f t="shared" si="44"/>
        <v>1</v>
      </c>
      <c r="BM11" s="18">
        <f t="shared" si="44"/>
        <v>1</v>
      </c>
      <c r="BN11" s="18">
        <f t="shared" si="44"/>
        <v>1</v>
      </c>
      <c r="BO11" s="18">
        <f t="shared" si="44"/>
        <v>1</v>
      </c>
      <c r="BP11" s="18">
        <f t="shared" si="44"/>
        <v>1</v>
      </c>
      <c r="BQ11" s="18">
        <f t="shared" si="44"/>
        <v>1</v>
      </c>
      <c r="BR11" s="18">
        <f t="shared" si="44"/>
        <v>1</v>
      </c>
      <c r="BS11" s="18">
        <f t="shared" si="44"/>
        <v>1</v>
      </c>
      <c r="BT11" s="18">
        <f t="shared" ref="BT11:EE11" si="45">COUNTIFS(BT$19:BT$75,"=1",$C$19:$C$75,"B",$D$19:$D$75,"5.0",$E$19:$E$75,"Lomitas",$F$19:$F$75,"Cerro")</f>
        <v>1</v>
      </c>
      <c r="BU11" s="18">
        <f t="shared" si="45"/>
        <v>1</v>
      </c>
      <c r="BV11" s="18">
        <f t="shared" si="45"/>
        <v>1</v>
      </c>
      <c r="BW11" s="18">
        <f t="shared" si="45"/>
        <v>1</v>
      </c>
      <c r="BX11" s="18">
        <f t="shared" si="45"/>
        <v>1</v>
      </c>
      <c r="BY11" s="18">
        <f t="shared" si="45"/>
        <v>1</v>
      </c>
      <c r="BZ11" s="18">
        <f t="shared" si="45"/>
        <v>1</v>
      </c>
      <c r="CA11" s="18">
        <f t="shared" si="45"/>
        <v>1</v>
      </c>
      <c r="CB11" s="18">
        <f t="shared" si="45"/>
        <v>1</v>
      </c>
      <c r="CC11" s="18">
        <f t="shared" si="45"/>
        <v>1</v>
      </c>
      <c r="CD11" s="18">
        <f t="shared" si="45"/>
        <v>1</v>
      </c>
      <c r="CE11" s="18">
        <f t="shared" si="45"/>
        <v>1</v>
      </c>
      <c r="CF11" s="18">
        <f t="shared" si="45"/>
        <v>1</v>
      </c>
      <c r="CG11" s="18">
        <f t="shared" si="45"/>
        <v>1</v>
      </c>
      <c r="CH11" s="18">
        <f t="shared" si="45"/>
        <v>1</v>
      </c>
      <c r="CI11" s="18">
        <f t="shared" si="45"/>
        <v>1</v>
      </c>
      <c r="CJ11" s="18">
        <f t="shared" si="45"/>
        <v>1</v>
      </c>
      <c r="CK11" s="18">
        <f t="shared" si="45"/>
        <v>1</v>
      </c>
      <c r="CL11" s="18">
        <f t="shared" si="45"/>
        <v>1</v>
      </c>
      <c r="CM11" s="18">
        <f t="shared" si="45"/>
        <v>1</v>
      </c>
      <c r="CN11" s="18">
        <f t="shared" si="45"/>
        <v>1</v>
      </c>
      <c r="CO11" s="18">
        <f t="shared" si="45"/>
        <v>1</v>
      </c>
      <c r="CP11" s="18">
        <f t="shared" si="45"/>
        <v>1</v>
      </c>
      <c r="CQ11" s="18">
        <f t="shared" si="45"/>
        <v>1</v>
      </c>
      <c r="CR11" s="18">
        <f t="shared" si="45"/>
        <v>1</v>
      </c>
      <c r="CS11" s="18">
        <f t="shared" si="45"/>
        <v>1</v>
      </c>
      <c r="CT11" s="18">
        <f t="shared" si="45"/>
        <v>1</v>
      </c>
      <c r="CU11" s="18">
        <f t="shared" si="45"/>
        <v>1</v>
      </c>
      <c r="CV11" s="18">
        <f t="shared" si="45"/>
        <v>1</v>
      </c>
      <c r="CW11" s="18">
        <f t="shared" si="45"/>
        <v>1</v>
      </c>
      <c r="CX11" s="18">
        <f t="shared" si="45"/>
        <v>1</v>
      </c>
      <c r="CY11" s="18">
        <f t="shared" si="45"/>
        <v>1</v>
      </c>
      <c r="CZ11" s="18">
        <f t="shared" si="45"/>
        <v>1</v>
      </c>
      <c r="DA11" s="18">
        <f t="shared" si="45"/>
        <v>1</v>
      </c>
      <c r="DB11" s="18">
        <f t="shared" si="45"/>
        <v>1</v>
      </c>
      <c r="DC11" s="18">
        <f t="shared" si="45"/>
        <v>1</v>
      </c>
      <c r="DD11" s="18">
        <f t="shared" si="45"/>
        <v>1</v>
      </c>
      <c r="DE11" s="18">
        <f t="shared" si="45"/>
        <v>1</v>
      </c>
      <c r="DF11" s="18">
        <f t="shared" si="45"/>
        <v>1</v>
      </c>
      <c r="DG11" s="18">
        <f t="shared" si="45"/>
        <v>1</v>
      </c>
      <c r="DH11" s="18">
        <f t="shared" si="45"/>
        <v>1</v>
      </c>
      <c r="DI11" s="18">
        <f t="shared" si="45"/>
        <v>1</v>
      </c>
      <c r="DJ11" s="18">
        <f t="shared" si="45"/>
        <v>1</v>
      </c>
      <c r="DK11" s="18">
        <f t="shared" si="45"/>
        <v>1</v>
      </c>
      <c r="DL11" s="18">
        <f t="shared" si="45"/>
        <v>1</v>
      </c>
      <c r="DM11" s="18">
        <f t="shared" si="45"/>
        <v>1</v>
      </c>
      <c r="DN11" s="18">
        <f t="shared" si="45"/>
        <v>1</v>
      </c>
      <c r="DO11" s="18">
        <f t="shared" si="45"/>
        <v>1</v>
      </c>
      <c r="DP11" s="18">
        <f t="shared" si="45"/>
        <v>1</v>
      </c>
      <c r="DQ11" s="18">
        <f t="shared" si="45"/>
        <v>1</v>
      </c>
      <c r="DR11" s="18">
        <f t="shared" si="45"/>
        <v>1</v>
      </c>
      <c r="DS11" s="18">
        <f t="shared" si="45"/>
        <v>1</v>
      </c>
      <c r="DT11" s="18">
        <f t="shared" si="45"/>
        <v>1</v>
      </c>
      <c r="DU11" s="18">
        <f t="shared" si="45"/>
        <v>1</v>
      </c>
      <c r="DV11" s="18">
        <f t="shared" si="45"/>
        <v>1</v>
      </c>
      <c r="DW11" s="18">
        <f t="shared" si="45"/>
        <v>1</v>
      </c>
      <c r="DX11" s="18">
        <f t="shared" si="45"/>
        <v>1</v>
      </c>
      <c r="DY11" s="18">
        <f t="shared" si="45"/>
        <v>1</v>
      </c>
      <c r="DZ11" s="18">
        <f t="shared" si="45"/>
        <v>1</v>
      </c>
      <c r="EA11" s="18">
        <f t="shared" si="45"/>
        <v>1</v>
      </c>
      <c r="EB11" s="18">
        <f t="shared" si="45"/>
        <v>1</v>
      </c>
      <c r="EC11" s="18">
        <f t="shared" si="45"/>
        <v>1</v>
      </c>
      <c r="ED11" s="18">
        <f t="shared" si="45"/>
        <v>1</v>
      </c>
      <c r="EE11" s="18">
        <f t="shared" si="45"/>
        <v>1</v>
      </c>
      <c r="EF11" s="18">
        <f t="shared" ref="EF11:GQ11" si="46">COUNTIFS(EF$19:EF$75,"=1",$C$19:$C$75,"B",$D$19:$D$75,"5.0",$E$19:$E$75,"Lomitas",$F$19:$F$75,"Cerro")</f>
        <v>1</v>
      </c>
      <c r="EG11" s="18">
        <f t="shared" si="46"/>
        <v>1</v>
      </c>
      <c r="EH11" s="18">
        <f t="shared" si="46"/>
        <v>1</v>
      </c>
      <c r="EI11" s="18">
        <f t="shared" si="46"/>
        <v>1</v>
      </c>
      <c r="EJ11" s="18">
        <f t="shared" si="46"/>
        <v>1</v>
      </c>
      <c r="EK11" s="18">
        <f t="shared" si="46"/>
        <v>1</v>
      </c>
      <c r="EL11" s="18">
        <f t="shared" si="46"/>
        <v>1</v>
      </c>
      <c r="EM11" s="18">
        <f t="shared" si="46"/>
        <v>1</v>
      </c>
      <c r="EN11" s="18">
        <f t="shared" si="46"/>
        <v>1</v>
      </c>
      <c r="EO11" s="18">
        <f t="shared" si="46"/>
        <v>1</v>
      </c>
      <c r="EP11" s="18">
        <f t="shared" si="46"/>
        <v>1</v>
      </c>
      <c r="EQ11" s="18">
        <f t="shared" si="46"/>
        <v>1</v>
      </c>
      <c r="ER11" s="18">
        <f t="shared" si="46"/>
        <v>1</v>
      </c>
      <c r="ES11" s="18">
        <f t="shared" si="46"/>
        <v>1</v>
      </c>
      <c r="ET11" s="18">
        <f t="shared" si="46"/>
        <v>1</v>
      </c>
      <c r="EU11" s="18">
        <f t="shared" si="46"/>
        <v>1</v>
      </c>
      <c r="EV11" s="18">
        <f t="shared" si="46"/>
        <v>1</v>
      </c>
      <c r="EW11" s="18">
        <f t="shared" si="46"/>
        <v>1</v>
      </c>
      <c r="EX11" s="18">
        <f t="shared" si="46"/>
        <v>1</v>
      </c>
      <c r="EY11" s="18">
        <f t="shared" si="46"/>
        <v>1</v>
      </c>
      <c r="EZ11" s="18">
        <f t="shared" si="46"/>
        <v>1</v>
      </c>
      <c r="FA11" s="18">
        <f t="shared" si="46"/>
        <v>1</v>
      </c>
      <c r="FB11" s="18">
        <f t="shared" si="46"/>
        <v>1</v>
      </c>
      <c r="FC11" s="18">
        <f t="shared" si="46"/>
        <v>1</v>
      </c>
      <c r="FD11" s="18">
        <f t="shared" si="46"/>
        <v>1</v>
      </c>
      <c r="FE11" s="18">
        <f t="shared" si="46"/>
        <v>1</v>
      </c>
      <c r="FF11" s="18">
        <f t="shared" si="46"/>
        <v>1</v>
      </c>
      <c r="FG11" s="18">
        <f t="shared" si="46"/>
        <v>1</v>
      </c>
      <c r="FH11" s="18">
        <f t="shared" si="46"/>
        <v>1</v>
      </c>
      <c r="FI11" s="18">
        <f t="shared" si="46"/>
        <v>1</v>
      </c>
      <c r="FJ11" s="18">
        <f t="shared" si="46"/>
        <v>1</v>
      </c>
      <c r="FK11" s="18">
        <f t="shared" si="46"/>
        <v>1</v>
      </c>
      <c r="FL11" s="18">
        <f t="shared" si="46"/>
        <v>1</v>
      </c>
      <c r="FM11" s="18">
        <f t="shared" si="46"/>
        <v>1</v>
      </c>
      <c r="FN11" s="18">
        <f t="shared" si="46"/>
        <v>1</v>
      </c>
      <c r="FO11" s="18">
        <f t="shared" si="46"/>
        <v>1</v>
      </c>
      <c r="FP11" s="18">
        <f t="shared" si="46"/>
        <v>1</v>
      </c>
      <c r="FQ11" s="18">
        <f t="shared" si="46"/>
        <v>1</v>
      </c>
      <c r="FR11" s="18">
        <f t="shared" si="46"/>
        <v>1</v>
      </c>
      <c r="FS11" s="18">
        <f t="shared" si="46"/>
        <v>1</v>
      </c>
      <c r="FT11" s="18">
        <f t="shared" si="46"/>
        <v>1</v>
      </c>
      <c r="FU11" s="18">
        <f t="shared" si="46"/>
        <v>1</v>
      </c>
      <c r="FV11" s="18">
        <f t="shared" si="46"/>
        <v>1</v>
      </c>
      <c r="FW11" s="18">
        <f t="shared" si="46"/>
        <v>1</v>
      </c>
      <c r="FX11" s="18">
        <f t="shared" si="46"/>
        <v>1</v>
      </c>
      <c r="FY11" s="18">
        <f t="shared" si="46"/>
        <v>1</v>
      </c>
      <c r="FZ11" s="18">
        <f t="shared" si="46"/>
        <v>1</v>
      </c>
      <c r="GA11" s="18">
        <f t="shared" si="46"/>
        <v>1</v>
      </c>
      <c r="GB11" s="18">
        <f t="shared" si="46"/>
        <v>1</v>
      </c>
      <c r="GC11" s="18">
        <f t="shared" si="46"/>
        <v>1</v>
      </c>
      <c r="GD11" s="18">
        <f t="shared" si="46"/>
        <v>1</v>
      </c>
      <c r="GE11" s="18">
        <f t="shared" si="46"/>
        <v>1</v>
      </c>
      <c r="GF11" s="18">
        <f t="shared" si="46"/>
        <v>1</v>
      </c>
      <c r="GG11" s="18">
        <f t="shared" si="46"/>
        <v>1</v>
      </c>
      <c r="GH11" s="18">
        <f t="shared" si="46"/>
        <v>1</v>
      </c>
      <c r="GI11" s="18">
        <f t="shared" si="46"/>
        <v>1</v>
      </c>
      <c r="GJ11" s="18">
        <f t="shared" si="46"/>
        <v>1</v>
      </c>
      <c r="GK11" s="18">
        <f t="shared" si="46"/>
        <v>1</v>
      </c>
      <c r="GL11" s="18">
        <f t="shared" si="46"/>
        <v>1</v>
      </c>
      <c r="GM11" s="18">
        <f t="shared" si="46"/>
        <v>1</v>
      </c>
      <c r="GN11" s="18">
        <f t="shared" si="46"/>
        <v>1</v>
      </c>
      <c r="GO11" s="18">
        <f t="shared" si="46"/>
        <v>1</v>
      </c>
      <c r="GP11" s="18">
        <f t="shared" si="46"/>
        <v>1</v>
      </c>
      <c r="GQ11" s="18">
        <f t="shared" si="46"/>
        <v>1</v>
      </c>
      <c r="GR11" s="18">
        <f t="shared" ref="GR11:HX11" si="47">COUNTIFS(GR$19:GR$75,"=1",$C$19:$C$75,"B",$D$19:$D$75,"5.0",$E$19:$E$75,"Lomitas",$F$19:$F$75,"Cerro")</f>
        <v>1</v>
      </c>
      <c r="GS11" s="18">
        <f t="shared" si="47"/>
        <v>1</v>
      </c>
      <c r="GT11" s="18">
        <f t="shared" si="47"/>
        <v>1</v>
      </c>
      <c r="GU11" s="18">
        <f t="shared" si="47"/>
        <v>1</v>
      </c>
      <c r="GV11" s="18">
        <f t="shared" si="47"/>
        <v>1</v>
      </c>
      <c r="GW11" s="18">
        <f t="shared" si="47"/>
        <v>1</v>
      </c>
      <c r="GX11" s="18">
        <f t="shared" si="47"/>
        <v>1</v>
      </c>
      <c r="GY11" s="18">
        <f t="shared" si="47"/>
        <v>1</v>
      </c>
      <c r="GZ11" s="18">
        <f t="shared" si="47"/>
        <v>1</v>
      </c>
      <c r="HA11" s="18">
        <f t="shared" si="47"/>
        <v>1</v>
      </c>
      <c r="HB11" s="18">
        <f t="shared" si="47"/>
        <v>1</v>
      </c>
      <c r="HC11" s="18">
        <f t="shared" si="47"/>
        <v>1</v>
      </c>
      <c r="HD11" s="18">
        <f t="shared" si="47"/>
        <v>1</v>
      </c>
      <c r="HE11" s="18">
        <f t="shared" si="47"/>
        <v>1</v>
      </c>
      <c r="HF11" s="18">
        <f t="shared" si="47"/>
        <v>1</v>
      </c>
      <c r="HG11" s="18">
        <f t="shared" si="47"/>
        <v>1</v>
      </c>
      <c r="HH11" s="18">
        <f t="shared" si="47"/>
        <v>1</v>
      </c>
      <c r="HI11" s="18">
        <f t="shared" si="47"/>
        <v>1</v>
      </c>
      <c r="HJ11" s="18">
        <f t="shared" si="47"/>
        <v>1</v>
      </c>
      <c r="HK11" s="18">
        <f t="shared" si="47"/>
        <v>1</v>
      </c>
      <c r="HL11" s="18">
        <f t="shared" si="47"/>
        <v>1</v>
      </c>
      <c r="HM11" s="18">
        <f t="shared" si="47"/>
        <v>1</v>
      </c>
      <c r="HN11" s="18">
        <f t="shared" si="47"/>
        <v>1</v>
      </c>
      <c r="HO11" s="18">
        <f t="shared" si="47"/>
        <v>1</v>
      </c>
      <c r="HP11" s="18">
        <f t="shared" si="47"/>
        <v>1</v>
      </c>
      <c r="HQ11" s="18">
        <f t="shared" si="47"/>
        <v>1</v>
      </c>
      <c r="HR11" s="18">
        <f t="shared" si="47"/>
        <v>1</v>
      </c>
      <c r="HS11" s="18">
        <f t="shared" si="47"/>
        <v>1</v>
      </c>
      <c r="HT11" s="18">
        <f t="shared" si="47"/>
        <v>1</v>
      </c>
      <c r="HU11" s="18">
        <f t="shared" si="47"/>
        <v>1</v>
      </c>
      <c r="HV11" s="18">
        <f t="shared" si="47"/>
        <v>1</v>
      </c>
      <c r="HW11" s="18">
        <f t="shared" si="47"/>
        <v>1</v>
      </c>
      <c r="HX11" s="18">
        <f t="shared" si="47"/>
        <v>1</v>
      </c>
    </row>
    <row r="12" spans="1:232" hidden="1" x14ac:dyDescent="0.2">
      <c r="E12" s="18" t="s">
        <v>127</v>
      </c>
      <c r="F12" s="18" t="s">
        <v>140</v>
      </c>
      <c r="G12" s="18">
        <f>COUNTIFS(G$19:G$75,"=1",$C$19:$C$75,"B",$D$19:$D$75,"5.0",$E$19:$E$75,"Lomitas",$F$19:$F$75,"Mar")</f>
        <v>5</v>
      </c>
      <c r="H12" s="18">
        <f t="shared" ref="H12:BS12" si="48">COUNTIFS(H$19:H$75,"=1",$C$19:$C$75,"B",$D$19:$D$75,"5.0",$E$19:$E$75,"Lomitas",$F$19:$F$75,"Mar")</f>
        <v>5</v>
      </c>
      <c r="I12" s="18">
        <f t="shared" si="48"/>
        <v>5</v>
      </c>
      <c r="J12" s="18">
        <f t="shared" si="48"/>
        <v>5</v>
      </c>
      <c r="K12" s="18">
        <f t="shared" si="48"/>
        <v>5</v>
      </c>
      <c r="L12" s="18">
        <f t="shared" si="48"/>
        <v>5</v>
      </c>
      <c r="M12" s="18">
        <f t="shared" si="48"/>
        <v>5</v>
      </c>
      <c r="N12" s="18">
        <f t="shared" si="48"/>
        <v>5</v>
      </c>
      <c r="O12" s="18">
        <f t="shared" si="48"/>
        <v>5</v>
      </c>
      <c r="P12" s="18">
        <f t="shared" si="48"/>
        <v>5</v>
      </c>
      <c r="Q12" s="18">
        <f t="shared" si="48"/>
        <v>5</v>
      </c>
      <c r="R12" s="18">
        <f t="shared" si="48"/>
        <v>5</v>
      </c>
      <c r="S12" s="18">
        <f t="shared" si="48"/>
        <v>5</v>
      </c>
      <c r="T12" s="18">
        <f t="shared" si="48"/>
        <v>5</v>
      </c>
      <c r="U12" s="18">
        <f t="shared" si="48"/>
        <v>5</v>
      </c>
      <c r="V12" s="18">
        <f t="shared" si="48"/>
        <v>5</v>
      </c>
      <c r="W12" s="18">
        <f t="shared" si="48"/>
        <v>5</v>
      </c>
      <c r="X12" s="18">
        <f t="shared" si="48"/>
        <v>5</v>
      </c>
      <c r="Y12" s="18">
        <f t="shared" si="48"/>
        <v>5</v>
      </c>
      <c r="Z12" s="18">
        <f t="shared" si="48"/>
        <v>5</v>
      </c>
      <c r="AA12" s="18">
        <f t="shared" si="48"/>
        <v>5</v>
      </c>
      <c r="AB12" s="18">
        <f t="shared" si="48"/>
        <v>5</v>
      </c>
      <c r="AC12" s="18">
        <f t="shared" si="48"/>
        <v>5</v>
      </c>
      <c r="AD12" s="18">
        <f t="shared" si="48"/>
        <v>5</v>
      </c>
      <c r="AE12" s="18">
        <f t="shared" si="48"/>
        <v>5</v>
      </c>
      <c r="AF12" s="18">
        <f t="shared" si="48"/>
        <v>5</v>
      </c>
      <c r="AG12" s="18">
        <f t="shared" si="48"/>
        <v>5</v>
      </c>
      <c r="AH12" s="18">
        <f t="shared" si="48"/>
        <v>5</v>
      </c>
      <c r="AI12" s="18">
        <f t="shared" si="48"/>
        <v>5</v>
      </c>
      <c r="AJ12" s="18">
        <f t="shared" si="48"/>
        <v>5</v>
      </c>
      <c r="AK12" s="18">
        <f t="shared" si="48"/>
        <v>5</v>
      </c>
      <c r="AL12" s="18">
        <f t="shared" si="48"/>
        <v>5</v>
      </c>
      <c r="AM12" s="18">
        <f t="shared" si="48"/>
        <v>5</v>
      </c>
      <c r="AN12" s="18">
        <f t="shared" si="48"/>
        <v>5</v>
      </c>
      <c r="AO12" s="18">
        <f t="shared" si="48"/>
        <v>5</v>
      </c>
      <c r="AP12" s="18">
        <f t="shared" si="48"/>
        <v>5</v>
      </c>
      <c r="AQ12" s="18">
        <f t="shared" si="48"/>
        <v>5</v>
      </c>
      <c r="AR12" s="18">
        <f t="shared" si="48"/>
        <v>5</v>
      </c>
      <c r="AS12" s="18">
        <f t="shared" si="48"/>
        <v>5</v>
      </c>
      <c r="AT12" s="18">
        <f t="shared" si="48"/>
        <v>5</v>
      </c>
      <c r="AU12" s="18">
        <f t="shared" si="48"/>
        <v>5</v>
      </c>
      <c r="AV12" s="18">
        <f t="shared" si="48"/>
        <v>5</v>
      </c>
      <c r="AW12" s="18">
        <f t="shared" si="48"/>
        <v>5</v>
      </c>
      <c r="AX12" s="18">
        <f t="shared" si="48"/>
        <v>5</v>
      </c>
      <c r="AY12" s="18">
        <f t="shared" si="48"/>
        <v>5</v>
      </c>
      <c r="AZ12" s="18">
        <f t="shared" si="48"/>
        <v>5</v>
      </c>
      <c r="BA12" s="18">
        <f t="shared" si="48"/>
        <v>7</v>
      </c>
      <c r="BB12" s="18">
        <f t="shared" si="48"/>
        <v>7</v>
      </c>
      <c r="BC12" s="18">
        <f t="shared" si="48"/>
        <v>7</v>
      </c>
      <c r="BD12" s="18">
        <f t="shared" si="48"/>
        <v>7</v>
      </c>
      <c r="BE12" s="18">
        <f t="shared" si="48"/>
        <v>7</v>
      </c>
      <c r="BF12" s="18">
        <f t="shared" si="48"/>
        <v>7</v>
      </c>
      <c r="BG12" s="18">
        <f t="shared" si="48"/>
        <v>7</v>
      </c>
      <c r="BH12" s="18">
        <f t="shared" si="48"/>
        <v>7</v>
      </c>
      <c r="BI12" s="18">
        <f t="shared" si="48"/>
        <v>7</v>
      </c>
      <c r="BJ12" s="18">
        <f t="shared" si="48"/>
        <v>7</v>
      </c>
      <c r="BK12" s="18">
        <f t="shared" si="48"/>
        <v>7</v>
      </c>
      <c r="BL12" s="18">
        <f t="shared" si="48"/>
        <v>7</v>
      </c>
      <c r="BM12" s="18">
        <f t="shared" si="48"/>
        <v>7</v>
      </c>
      <c r="BN12" s="18">
        <f t="shared" si="48"/>
        <v>7</v>
      </c>
      <c r="BO12" s="18">
        <f t="shared" si="48"/>
        <v>7</v>
      </c>
      <c r="BP12" s="18">
        <f t="shared" si="48"/>
        <v>7</v>
      </c>
      <c r="BQ12" s="18">
        <f t="shared" si="48"/>
        <v>7</v>
      </c>
      <c r="BR12" s="18">
        <f t="shared" si="48"/>
        <v>7</v>
      </c>
      <c r="BS12" s="18">
        <f t="shared" si="48"/>
        <v>7</v>
      </c>
      <c r="BT12" s="18">
        <f t="shared" ref="BT12:EE12" si="49">COUNTIFS(BT$19:BT$75,"=1",$C$19:$C$75,"B",$D$19:$D$75,"5.0",$E$19:$E$75,"Lomitas",$F$19:$F$75,"Mar")</f>
        <v>7</v>
      </c>
      <c r="BU12" s="18">
        <f t="shared" si="49"/>
        <v>7</v>
      </c>
      <c r="BV12" s="18">
        <f t="shared" si="49"/>
        <v>7</v>
      </c>
      <c r="BW12" s="18">
        <f t="shared" si="49"/>
        <v>7</v>
      </c>
      <c r="BX12" s="18">
        <f t="shared" si="49"/>
        <v>7</v>
      </c>
      <c r="BY12" s="18">
        <f t="shared" si="49"/>
        <v>7</v>
      </c>
      <c r="BZ12" s="18">
        <f t="shared" si="49"/>
        <v>7</v>
      </c>
      <c r="CA12" s="18">
        <f t="shared" si="49"/>
        <v>7</v>
      </c>
      <c r="CB12" s="18">
        <f t="shared" si="49"/>
        <v>7</v>
      </c>
      <c r="CC12" s="18">
        <f t="shared" si="49"/>
        <v>7</v>
      </c>
      <c r="CD12" s="18">
        <f t="shared" si="49"/>
        <v>7</v>
      </c>
      <c r="CE12" s="18">
        <f t="shared" si="49"/>
        <v>7</v>
      </c>
      <c r="CF12" s="18">
        <f t="shared" si="49"/>
        <v>7</v>
      </c>
      <c r="CG12" s="18">
        <f t="shared" si="49"/>
        <v>7</v>
      </c>
      <c r="CH12" s="18">
        <f t="shared" si="49"/>
        <v>7</v>
      </c>
      <c r="CI12" s="18">
        <f t="shared" si="49"/>
        <v>7</v>
      </c>
      <c r="CJ12" s="18">
        <f t="shared" si="49"/>
        <v>7</v>
      </c>
      <c r="CK12" s="18">
        <f t="shared" si="49"/>
        <v>7</v>
      </c>
      <c r="CL12" s="18">
        <f t="shared" si="49"/>
        <v>7</v>
      </c>
      <c r="CM12" s="18">
        <f t="shared" si="49"/>
        <v>7</v>
      </c>
      <c r="CN12" s="18">
        <f t="shared" si="49"/>
        <v>7</v>
      </c>
      <c r="CO12" s="18">
        <f t="shared" si="49"/>
        <v>7</v>
      </c>
      <c r="CP12" s="18">
        <f t="shared" si="49"/>
        <v>7</v>
      </c>
      <c r="CQ12" s="18">
        <f t="shared" si="49"/>
        <v>7</v>
      </c>
      <c r="CR12" s="18">
        <f t="shared" si="49"/>
        <v>7</v>
      </c>
      <c r="CS12" s="18">
        <f t="shared" si="49"/>
        <v>7</v>
      </c>
      <c r="CT12" s="18">
        <f t="shared" si="49"/>
        <v>7</v>
      </c>
      <c r="CU12" s="18">
        <f t="shared" si="49"/>
        <v>7</v>
      </c>
      <c r="CV12" s="18">
        <f t="shared" si="49"/>
        <v>7</v>
      </c>
      <c r="CW12" s="18">
        <f t="shared" si="49"/>
        <v>7</v>
      </c>
      <c r="CX12" s="18">
        <f t="shared" si="49"/>
        <v>7</v>
      </c>
      <c r="CY12" s="18">
        <f t="shared" si="49"/>
        <v>7</v>
      </c>
      <c r="CZ12" s="18">
        <f t="shared" si="49"/>
        <v>7</v>
      </c>
      <c r="DA12" s="18">
        <f t="shared" si="49"/>
        <v>7</v>
      </c>
      <c r="DB12" s="18">
        <f t="shared" si="49"/>
        <v>7</v>
      </c>
      <c r="DC12" s="18">
        <f t="shared" si="49"/>
        <v>7</v>
      </c>
      <c r="DD12" s="18">
        <f t="shared" si="49"/>
        <v>7</v>
      </c>
      <c r="DE12" s="18">
        <f t="shared" si="49"/>
        <v>7</v>
      </c>
      <c r="DF12" s="18">
        <f t="shared" si="49"/>
        <v>7</v>
      </c>
      <c r="DG12" s="18">
        <f t="shared" si="49"/>
        <v>7</v>
      </c>
      <c r="DH12" s="18">
        <f t="shared" si="49"/>
        <v>7</v>
      </c>
      <c r="DI12" s="18">
        <f t="shared" si="49"/>
        <v>7</v>
      </c>
      <c r="DJ12" s="18">
        <f t="shared" si="49"/>
        <v>7</v>
      </c>
      <c r="DK12" s="18">
        <f t="shared" si="49"/>
        <v>7</v>
      </c>
      <c r="DL12" s="18">
        <f t="shared" si="49"/>
        <v>7</v>
      </c>
      <c r="DM12" s="18">
        <f t="shared" si="49"/>
        <v>7</v>
      </c>
      <c r="DN12" s="18">
        <f t="shared" si="49"/>
        <v>7</v>
      </c>
      <c r="DO12" s="18">
        <f t="shared" si="49"/>
        <v>7</v>
      </c>
      <c r="DP12" s="18">
        <f t="shared" si="49"/>
        <v>7</v>
      </c>
      <c r="DQ12" s="18">
        <f t="shared" si="49"/>
        <v>7</v>
      </c>
      <c r="DR12" s="18">
        <f t="shared" si="49"/>
        <v>7</v>
      </c>
      <c r="DS12" s="18">
        <f t="shared" si="49"/>
        <v>7</v>
      </c>
      <c r="DT12" s="18">
        <f t="shared" si="49"/>
        <v>7</v>
      </c>
      <c r="DU12" s="18">
        <f t="shared" si="49"/>
        <v>7</v>
      </c>
      <c r="DV12" s="18">
        <f t="shared" si="49"/>
        <v>7</v>
      </c>
      <c r="DW12" s="18">
        <f t="shared" si="49"/>
        <v>7</v>
      </c>
      <c r="DX12" s="18">
        <f t="shared" si="49"/>
        <v>7</v>
      </c>
      <c r="DY12" s="18">
        <f t="shared" si="49"/>
        <v>7</v>
      </c>
      <c r="DZ12" s="18">
        <f t="shared" si="49"/>
        <v>7</v>
      </c>
      <c r="EA12" s="18">
        <f t="shared" si="49"/>
        <v>7</v>
      </c>
      <c r="EB12" s="18">
        <f t="shared" si="49"/>
        <v>7</v>
      </c>
      <c r="EC12" s="18">
        <f t="shared" si="49"/>
        <v>7</v>
      </c>
      <c r="ED12" s="18">
        <f t="shared" si="49"/>
        <v>7</v>
      </c>
      <c r="EE12" s="18">
        <f t="shared" si="49"/>
        <v>7</v>
      </c>
      <c r="EF12" s="18">
        <f t="shared" ref="EF12:GQ12" si="50">COUNTIFS(EF$19:EF$75,"=1",$C$19:$C$75,"B",$D$19:$D$75,"5.0",$E$19:$E$75,"Lomitas",$F$19:$F$75,"Mar")</f>
        <v>7</v>
      </c>
      <c r="EG12" s="18">
        <f t="shared" si="50"/>
        <v>7</v>
      </c>
      <c r="EH12" s="18">
        <f t="shared" si="50"/>
        <v>7</v>
      </c>
      <c r="EI12" s="18">
        <f t="shared" si="50"/>
        <v>7</v>
      </c>
      <c r="EJ12" s="18">
        <f t="shared" si="50"/>
        <v>7</v>
      </c>
      <c r="EK12" s="18">
        <f t="shared" si="50"/>
        <v>7</v>
      </c>
      <c r="EL12" s="18">
        <f t="shared" si="50"/>
        <v>7</v>
      </c>
      <c r="EM12" s="18">
        <f t="shared" si="50"/>
        <v>7</v>
      </c>
      <c r="EN12" s="18">
        <f t="shared" si="50"/>
        <v>7</v>
      </c>
      <c r="EO12" s="18">
        <f t="shared" si="50"/>
        <v>7</v>
      </c>
      <c r="EP12" s="18">
        <f t="shared" si="50"/>
        <v>7</v>
      </c>
      <c r="EQ12" s="18">
        <f t="shared" si="50"/>
        <v>7</v>
      </c>
      <c r="ER12" s="18">
        <f t="shared" si="50"/>
        <v>7</v>
      </c>
      <c r="ES12" s="18">
        <f t="shared" si="50"/>
        <v>7</v>
      </c>
      <c r="ET12" s="18">
        <f t="shared" si="50"/>
        <v>7</v>
      </c>
      <c r="EU12" s="18">
        <f t="shared" si="50"/>
        <v>7</v>
      </c>
      <c r="EV12" s="18">
        <f t="shared" si="50"/>
        <v>7</v>
      </c>
      <c r="EW12" s="18">
        <f t="shared" si="50"/>
        <v>7</v>
      </c>
      <c r="EX12" s="18">
        <f t="shared" si="50"/>
        <v>7</v>
      </c>
      <c r="EY12" s="18">
        <f t="shared" si="50"/>
        <v>7</v>
      </c>
      <c r="EZ12" s="18">
        <f t="shared" si="50"/>
        <v>7</v>
      </c>
      <c r="FA12" s="18">
        <f t="shared" si="50"/>
        <v>7</v>
      </c>
      <c r="FB12" s="18">
        <f t="shared" si="50"/>
        <v>7</v>
      </c>
      <c r="FC12" s="18">
        <f t="shared" si="50"/>
        <v>7</v>
      </c>
      <c r="FD12" s="18">
        <f t="shared" si="50"/>
        <v>7</v>
      </c>
      <c r="FE12" s="18">
        <f t="shared" si="50"/>
        <v>7</v>
      </c>
      <c r="FF12" s="18">
        <f t="shared" si="50"/>
        <v>7</v>
      </c>
      <c r="FG12" s="18">
        <f t="shared" si="50"/>
        <v>7</v>
      </c>
      <c r="FH12" s="18">
        <f t="shared" si="50"/>
        <v>7</v>
      </c>
      <c r="FI12" s="18">
        <f t="shared" si="50"/>
        <v>7</v>
      </c>
      <c r="FJ12" s="18">
        <f t="shared" si="50"/>
        <v>7</v>
      </c>
      <c r="FK12" s="18">
        <f t="shared" si="50"/>
        <v>7</v>
      </c>
      <c r="FL12" s="18">
        <f t="shared" si="50"/>
        <v>7</v>
      </c>
      <c r="FM12" s="18">
        <f t="shared" si="50"/>
        <v>7</v>
      </c>
      <c r="FN12" s="18">
        <f t="shared" si="50"/>
        <v>7</v>
      </c>
      <c r="FO12" s="18">
        <f t="shared" si="50"/>
        <v>7</v>
      </c>
      <c r="FP12" s="18">
        <f t="shared" si="50"/>
        <v>7</v>
      </c>
      <c r="FQ12" s="18">
        <f t="shared" si="50"/>
        <v>7</v>
      </c>
      <c r="FR12" s="18">
        <f t="shared" si="50"/>
        <v>7</v>
      </c>
      <c r="FS12" s="18">
        <f t="shared" si="50"/>
        <v>7</v>
      </c>
      <c r="FT12" s="18">
        <f t="shared" si="50"/>
        <v>7</v>
      </c>
      <c r="FU12" s="18">
        <f t="shared" si="50"/>
        <v>7</v>
      </c>
      <c r="FV12" s="18">
        <f t="shared" si="50"/>
        <v>7</v>
      </c>
      <c r="FW12" s="18">
        <f t="shared" si="50"/>
        <v>7</v>
      </c>
      <c r="FX12" s="18">
        <f t="shared" si="50"/>
        <v>7</v>
      </c>
      <c r="FY12" s="18">
        <f t="shared" si="50"/>
        <v>7</v>
      </c>
      <c r="FZ12" s="18">
        <f t="shared" si="50"/>
        <v>7</v>
      </c>
      <c r="GA12" s="18">
        <f t="shared" si="50"/>
        <v>7</v>
      </c>
      <c r="GB12" s="18">
        <f t="shared" si="50"/>
        <v>7</v>
      </c>
      <c r="GC12" s="18">
        <f t="shared" si="50"/>
        <v>7</v>
      </c>
      <c r="GD12" s="18">
        <f t="shared" si="50"/>
        <v>7</v>
      </c>
      <c r="GE12" s="18">
        <f t="shared" si="50"/>
        <v>7</v>
      </c>
      <c r="GF12" s="18">
        <f t="shared" si="50"/>
        <v>7</v>
      </c>
      <c r="GG12" s="18">
        <f t="shared" si="50"/>
        <v>7</v>
      </c>
      <c r="GH12" s="18">
        <f t="shared" si="50"/>
        <v>7</v>
      </c>
      <c r="GI12" s="18">
        <f t="shared" si="50"/>
        <v>7</v>
      </c>
      <c r="GJ12" s="18">
        <f t="shared" si="50"/>
        <v>7</v>
      </c>
      <c r="GK12" s="18">
        <f t="shared" si="50"/>
        <v>7</v>
      </c>
      <c r="GL12" s="18">
        <f t="shared" si="50"/>
        <v>7</v>
      </c>
      <c r="GM12" s="18">
        <f t="shared" si="50"/>
        <v>7</v>
      </c>
      <c r="GN12" s="18">
        <f t="shared" si="50"/>
        <v>7</v>
      </c>
      <c r="GO12" s="18">
        <f t="shared" si="50"/>
        <v>7</v>
      </c>
      <c r="GP12" s="18">
        <f t="shared" si="50"/>
        <v>7</v>
      </c>
      <c r="GQ12" s="18">
        <f t="shared" si="50"/>
        <v>7</v>
      </c>
      <c r="GR12" s="18">
        <f t="shared" ref="GR12:HX12" si="51">COUNTIFS(GR$19:GR$75,"=1",$C$19:$C$75,"B",$D$19:$D$75,"5.0",$E$19:$E$75,"Lomitas",$F$19:$F$75,"Mar")</f>
        <v>7</v>
      </c>
      <c r="GS12" s="18">
        <f t="shared" si="51"/>
        <v>7</v>
      </c>
      <c r="GT12" s="18">
        <f t="shared" si="51"/>
        <v>7</v>
      </c>
      <c r="GU12" s="18">
        <f t="shared" si="51"/>
        <v>7</v>
      </c>
      <c r="GV12" s="18">
        <f t="shared" si="51"/>
        <v>7</v>
      </c>
      <c r="GW12" s="18">
        <f t="shared" si="51"/>
        <v>7</v>
      </c>
      <c r="GX12" s="18">
        <f t="shared" si="51"/>
        <v>7</v>
      </c>
      <c r="GY12" s="18">
        <f t="shared" si="51"/>
        <v>7</v>
      </c>
      <c r="GZ12" s="18">
        <f t="shared" si="51"/>
        <v>7</v>
      </c>
      <c r="HA12" s="18">
        <f t="shared" si="51"/>
        <v>7</v>
      </c>
      <c r="HB12" s="18">
        <f t="shared" si="51"/>
        <v>7</v>
      </c>
      <c r="HC12" s="18">
        <f t="shared" si="51"/>
        <v>7</v>
      </c>
      <c r="HD12" s="18">
        <f t="shared" si="51"/>
        <v>7</v>
      </c>
      <c r="HE12" s="18">
        <f t="shared" si="51"/>
        <v>7</v>
      </c>
      <c r="HF12" s="18">
        <f t="shared" si="51"/>
        <v>7</v>
      </c>
      <c r="HG12" s="18">
        <f t="shared" si="51"/>
        <v>7</v>
      </c>
      <c r="HH12" s="18">
        <f t="shared" si="51"/>
        <v>7</v>
      </c>
      <c r="HI12" s="18">
        <f t="shared" si="51"/>
        <v>7</v>
      </c>
      <c r="HJ12" s="18">
        <f t="shared" si="51"/>
        <v>7</v>
      </c>
      <c r="HK12" s="18">
        <f t="shared" si="51"/>
        <v>7</v>
      </c>
      <c r="HL12" s="18">
        <f t="shared" si="51"/>
        <v>7</v>
      </c>
      <c r="HM12" s="18">
        <f t="shared" si="51"/>
        <v>7</v>
      </c>
      <c r="HN12" s="18">
        <f t="shared" si="51"/>
        <v>7</v>
      </c>
      <c r="HO12" s="18">
        <f t="shared" si="51"/>
        <v>7</v>
      </c>
      <c r="HP12" s="18">
        <f t="shared" si="51"/>
        <v>7</v>
      </c>
      <c r="HQ12" s="18">
        <f t="shared" si="51"/>
        <v>7</v>
      </c>
      <c r="HR12" s="18">
        <f t="shared" si="51"/>
        <v>7</v>
      </c>
      <c r="HS12" s="18">
        <f t="shared" si="51"/>
        <v>7</v>
      </c>
      <c r="HT12" s="18">
        <f t="shared" si="51"/>
        <v>7</v>
      </c>
      <c r="HU12" s="18">
        <f t="shared" si="51"/>
        <v>7</v>
      </c>
      <c r="HV12" s="18">
        <f t="shared" si="51"/>
        <v>7</v>
      </c>
      <c r="HW12" s="18">
        <f t="shared" si="51"/>
        <v>7</v>
      </c>
      <c r="HX12" s="18">
        <f t="shared" si="51"/>
        <v>7</v>
      </c>
    </row>
    <row r="13" spans="1:232" hidden="1" x14ac:dyDescent="0.2">
      <c r="E13" s="18" t="s">
        <v>128</v>
      </c>
      <c r="F13" s="18" t="s">
        <v>136</v>
      </c>
      <c r="G13" s="18">
        <f>COUNTIFS(G$19:G$75,"=1",$C$19:$C$75,"B",$D$19:$D$75,"5.2",$E$19:$E$75,"Expansión",$F$19:$F$75,"Cerro")</f>
        <v>3</v>
      </c>
      <c r="H13" s="18">
        <f t="shared" ref="H13:BS13" si="52">COUNTIFS(H$19:H$75,"=1",$C$19:$C$75,"B",$D$19:$D$75,"5.2",$E$19:$E$75,"Expansión",$F$19:$F$75,"Cerro")</f>
        <v>3</v>
      </c>
      <c r="I13" s="18">
        <f t="shared" si="52"/>
        <v>3</v>
      </c>
      <c r="J13" s="18">
        <f t="shared" si="52"/>
        <v>3</v>
      </c>
      <c r="K13" s="18">
        <f t="shared" si="52"/>
        <v>3</v>
      </c>
      <c r="L13" s="18">
        <f t="shared" si="52"/>
        <v>3</v>
      </c>
      <c r="M13" s="18">
        <f t="shared" si="52"/>
        <v>3</v>
      </c>
      <c r="N13" s="18">
        <f t="shared" si="52"/>
        <v>3</v>
      </c>
      <c r="O13" s="18">
        <f t="shared" si="52"/>
        <v>3</v>
      </c>
      <c r="P13" s="18">
        <f t="shared" si="52"/>
        <v>3</v>
      </c>
      <c r="Q13" s="18">
        <f t="shared" si="52"/>
        <v>3</v>
      </c>
      <c r="R13" s="18">
        <f t="shared" si="52"/>
        <v>3</v>
      </c>
      <c r="S13" s="18">
        <f t="shared" si="52"/>
        <v>3</v>
      </c>
      <c r="T13" s="18">
        <f t="shared" si="52"/>
        <v>3</v>
      </c>
      <c r="U13" s="18">
        <f t="shared" si="52"/>
        <v>3</v>
      </c>
      <c r="V13" s="18">
        <f t="shared" si="52"/>
        <v>3</v>
      </c>
      <c r="W13" s="18">
        <f t="shared" si="52"/>
        <v>3</v>
      </c>
      <c r="X13" s="18">
        <f t="shared" si="52"/>
        <v>3</v>
      </c>
      <c r="Y13" s="18">
        <f t="shared" si="52"/>
        <v>3</v>
      </c>
      <c r="Z13" s="18">
        <f t="shared" si="52"/>
        <v>3</v>
      </c>
      <c r="AA13" s="18">
        <f t="shared" si="52"/>
        <v>3</v>
      </c>
      <c r="AB13" s="18">
        <f t="shared" si="52"/>
        <v>3</v>
      </c>
      <c r="AC13" s="18">
        <f t="shared" si="52"/>
        <v>3</v>
      </c>
      <c r="AD13" s="18">
        <f t="shared" si="52"/>
        <v>3</v>
      </c>
      <c r="AE13" s="18">
        <f t="shared" si="52"/>
        <v>3</v>
      </c>
      <c r="AF13" s="18">
        <f t="shared" si="52"/>
        <v>3</v>
      </c>
      <c r="AG13" s="18">
        <f t="shared" si="52"/>
        <v>3</v>
      </c>
      <c r="AH13" s="18">
        <f t="shared" si="52"/>
        <v>3</v>
      </c>
      <c r="AI13" s="18">
        <f t="shared" si="52"/>
        <v>3</v>
      </c>
      <c r="AJ13" s="18">
        <f t="shared" si="52"/>
        <v>3</v>
      </c>
      <c r="AK13" s="18">
        <f t="shared" si="52"/>
        <v>3</v>
      </c>
      <c r="AL13" s="18">
        <f t="shared" si="52"/>
        <v>3</v>
      </c>
      <c r="AM13" s="18">
        <f t="shared" si="52"/>
        <v>3</v>
      </c>
      <c r="AN13" s="18">
        <f t="shared" si="52"/>
        <v>3</v>
      </c>
      <c r="AO13" s="18">
        <f t="shared" si="52"/>
        <v>3</v>
      </c>
      <c r="AP13" s="18">
        <f t="shared" si="52"/>
        <v>3</v>
      </c>
      <c r="AQ13" s="18">
        <f t="shared" si="52"/>
        <v>3</v>
      </c>
      <c r="AR13" s="18">
        <f t="shared" si="52"/>
        <v>3</v>
      </c>
      <c r="AS13" s="18">
        <f t="shared" si="52"/>
        <v>3</v>
      </c>
      <c r="AT13" s="18">
        <f t="shared" si="52"/>
        <v>3</v>
      </c>
      <c r="AU13" s="18">
        <f t="shared" si="52"/>
        <v>3</v>
      </c>
      <c r="AV13" s="18">
        <f t="shared" si="52"/>
        <v>3</v>
      </c>
      <c r="AW13" s="18">
        <f t="shared" si="52"/>
        <v>3</v>
      </c>
      <c r="AX13" s="18">
        <f t="shared" si="52"/>
        <v>3</v>
      </c>
      <c r="AY13" s="18">
        <f t="shared" si="52"/>
        <v>3</v>
      </c>
      <c r="AZ13" s="18">
        <f t="shared" si="52"/>
        <v>3</v>
      </c>
      <c r="BA13" s="18">
        <f t="shared" si="52"/>
        <v>1</v>
      </c>
      <c r="BB13" s="18">
        <f t="shared" si="52"/>
        <v>1</v>
      </c>
      <c r="BC13" s="18">
        <f t="shared" si="52"/>
        <v>1</v>
      </c>
      <c r="BD13" s="18">
        <f t="shared" si="52"/>
        <v>1</v>
      </c>
      <c r="BE13" s="18">
        <f t="shared" si="52"/>
        <v>1</v>
      </c>
      <c r="BF13" s="18">
        <f t="shared" si="52"/>
        <v>1</v>
      </c>
      <c r="BG13" s="18">
        <f t="shared" si="52"/>
        <v>1</v>
      </c>
      <c r="BH13" s="18">
        <f t="shared" si="52"/>
        <v>1</v>
      </c>
      <c r="BI13" s="18">
        <f t="shared" si="52"/>
        <v>1</v>
      </c>
      <c r="BJ13" s="18">
        <f t="shared" si="52"/>
        <v>1</v>
      </c>
      <c r="BK13" s="18">
        <f t="shared" si="52"/>
        <v>1</v>
      </c>
      <c r="BL13" s="18">
        <f t="shared" si="52"/>
        <v>1</v>
      </c>
      <c r="BM13" s="18">
        <f t="shared" si="52"/>
        <v>1</v>
      </c>
      <c r="BN13" s="18">
        <f t="shared" si="52"/>
        <v>1</v>
      </c>
      <c r="BO13" s="18">
        <f t="shared" si="52"/>
        <v>1</v>
      </c>
      <c r="BP13" s="18">
        <f t="shared" si="52"/>
        <v>1</v>
      </c>
      <c r="BQ13" s="18">
        <f t="shared" si="52"/>
        <v>1</v>
      </c>
      <c r="BR13" s="18">
        <f t="shared" si="52"/>
        <v>1</v>
      </c>
      <c r="BS13" s="18">
        <f t="shared" si="52"/>
        <v>1</v>
      </c>
      <c r="BT13" s="18">
        <f t="shared" ref="BT13:EE13" si="53">COUNTIFS(BT$19:BT$75,"=1",$C$19:$C$75,"B",$D$19:$D$75,"5.2",$E$19:$E$75,"Expansión",$F$19:$F$75,"Cerro")</f>
        <v>1</v>
      </c>
      <c r="BU13" s="18">
        <f t="shared" si="53"/>
        <v>1</v>
      </c>
      <c r="BV13" s="18">
        <f t="shared" si="53"/>
        <v>1</v>
      </c>
      <c r="BW13" s="18">
        <f t="shared" si="53"/>
        <v>1</v>
      </c>
      <c r="BX13" s="18">
        <f t="shared" si="53"/>
        <v>1</v>
      </c>
      <c r="BY13" s="18">
        <f t="shared" si="53"/>
        <v>1</v>
      </c>
      <c r="BZ13" s="18">
        <f t="shared" si="53"/>
        <v>1</v>
      </c>
      <c r="CA13" s="18">
        <f t="shared" si="53"/>
        <v>1</v>
      </c>
      <c r="CB13" s="18">
        <f t="shared" si="53"/>
        <v>1</v>
      </c>
      <c r="CC13" s="18">
        <f t="shared" si="53"/>
        <v>1</v>
      </c>
      <c r="CD13" s="18">
        <f t="shared" si="53"/>
        <v>1</v>
      </c>
      <c r="CE13" s="18">
        <f t="shared" si="53"/>
        <v>1</v>
      </c>
      <c r="CF13" s="18">
        <f t="shared" si="53"/>
        <v>1</v>
      </c>
      <c r="CG13" s="18">
        <f t="shared" si="53"/>
        <v>1</v>
      </c>
      <c r="CH13" s="18">
        <f t="shared" si="53"/>
        <v>1</v>
      </c>
      <c r="CI13" s="18">
        <f t="shared" si="53"/>
        <v>1</v>
      </c>
      <c r="CJ13" s="18">
        <f t="shared" si="53"/>
        <v>1</v>
      </c>
      <c r="CK13" s="18">
        <f t="shared" si="53"/>
        <v>1</v>
      </c>
      <c r="CL13" s="18">
        <f t="shared" si="53"/>
        <v>1</v>
      </c>
      <c r="CM13" s="18">
        <f t="shared" si="53"/>
        <v>1</v>
      </c>
      <c r="CN13" s="18">
        <f t="shared" si="53"/>
        <v>1</v>
      </c>
      <c r="CO13" s="18">
        <f t="shared" si="53"/>
        <v>1</v>
      </c>
      <c r="CP13" s="18">
        <f t="shared" si="53"/>
        <v>1</v>
      </c>
      <c r="CQ13" s="18">
        <f t="shared" si="53"/>
        <v>1</v>
      </c>
      <c r="CR13" s="18">
        <f t="shared" si="53"/>
        <v>1</v>
      </c>
      <c r="CS13" s="18">
        <f t="shared" si="53"/>
        <v>1</v>
      </c>
      <c r="CT13" s="18">
        <f t="shared" si="53"/>
        <v>1</v>
      </c>
      <c r="CU13" s="18">
        <f t="shared" si="53"/>
        <v>1</v>
      </c>
      <c r="CV13" s="18">
        <f t="shared" si="53"/>
        <v>1</v>
      </c>
      <c r="CW13" s="18">
        <f t="shared" si="53"/>
        <v>1</v>
      </c>
      <c r="CX13" s="18">
        <f t="shared" si="53"/>
        <v>1</v>
      </c>
      <c r="CY13" s="18">
        <f t="shared" si="53"/>
        <v>1</v>
      </c>
      <c r="CZ13" s="18">
        <f t="shared" si="53"/>
        <v>1</v>
      </c>
      <c r="DA13" s="18">
        <f t="shared" si="53"/>
        <v>1</v>
      </c>
      <c r="DB13" s="18">
        <f t="shared" si="53"/>
        <v>1</v>
      </c>
      <c r="DC13" s="18">
        <f t="shared" si="53"/>
        <v>1</v>
      </c>
      <c r="DD13" s="18">
        <f t="shared" si="53"/>
        <v>1</v>
      </c>
      <c r="DE13" s="18">
        <f t="shared" si="53"/>
        <v>1</v>
      </c>
      <c r="DF13" s="18">
        <f t="shared" si="53"/>
        <v>1</v>
      </c>
      <c r="DG13" s="18">
        <f t="shared" si="53"/>
        <v>1</v>
      </c>
      <c r="DH13" s="18">
        <f t="shared" si="53"/>
        <v>1</v>
      </c>
      <c r="DI13" s="18">
        <f t="shared" si="53"/>
        <v>1</v>
      </c>
      <c r="DJ13" s="18">
        <f t="shared" si="53"/>
        <v>1</v>
      </c>
      <c r="DK13" s="18">
        <f t="shared" si="53"/>
        <v>1</v>
      </c>
      <c r="DL13" s="18">
        <f t="shared" si="53"/>
        <v>1</v>
      </c>
      <c r="DM13" s="18">
        <f t="shared" si="53"/>
        <v>1</v>
      </c>
      <c r="DN13" s="18">
        <f t="shared" si="53"/>
        <v>1</v>
      </c>
      <c r="DO13" s="18">
        <f t="shared" si="53"/>
        <v>1</v>
      </c>
      <c r="DP13" s="18">
        <f t="shared" si="53"/>
        <v>1</v>
      </c>
      <c r="DQ13" s="18">
        <f t="shared" si="53"/>
        <v>1</v>
      </c>
      <c r="DR13" s="18">
        <f t="shared" si="53"/>
        <v>1</v>
      </c>
      <c r="DS13" s="18">
        <f t="shared" si="53"/>
        <v>1</v>
      </c>
      <c r="DT13" s="18">
        <f t="shared" si="53"/>
        <v>1</v>
      </c>
      <c r="DU13" s="18">
        <f t="shared" si="53"/>
        <v>1</v>
      </c>
      <c r="DV13" s="18">
        <f t="shared" si="53"/>
        <v>1</v>
      </c>
      <c r="DW13" s="18">
        <f t="shared" si="53"/>
        <v>1</v>
      </c>
      <c r="DX13" s="18">
        <f t="shared" si="53"/>
        <v>1</v>
      </c>
      <c r="DY13" s="18">
        <f t="shared" si="53"/>
        <v>1</v>
      </c>
      <c r="DZ13" s="18">
        <f t="shared" si="53"/>
        <v>1</v>
      </c>
      <c r="EA13" s="18">
        <f t="shared" si="53"/>
        <v>1</v>
      </c>
      <c r="EB13" s="18">
        <f t="shared" si="53"/>
        <v>1</v>
      </c>
      <c r="EC13" s="18">
        <f t="shared" si="53"/>
        <v>1</v>
      </c>
      <c r="ED13" s="18">
        <f t="shared" si="53"/>
        <v>1</v>
      </c>
      <c r="EE13" s="18">
        <f t="shared" si="53"/>
        <v>1</v>
      </c>
      <c r="EF13" s="18">
        <f t="shared" ref="EF13:GQ13" si="54">COUNTIFS(EF$19:EF$75,"=1",$C$19:$C$75,"B",$D$19:$D$75,"5.2",$E$19:$E$75,"Expansión",$F$19:$F$75,"Cerro")</f>
        <v>1</v>
      </c>
      <c r="EG13" s="18">
        <f t="shared" si="54"/>
        <v>1</v>
      </c>
      <c r="EH13" s="18">
        <f t="shared" si="54"/>
        <v>1</v>
      </c>
      <c r="EI13" s="18">
        <f t="shared" si="54"/>
        <v>1</v>
      </c>
      <c r="EJ13" s="18">
        <f t="shared" si="54"/>
        <v>1</v>
      </c>
      <c r="EK13" s="18">
        <f t="shared" si="54"/>
        <v>1</v>
      </c>
      <c r="EL13" s="18">
        <f t="shared" si="54"/>
        <v>1</v>
      </c>
      <c r="EM13" s="18">
        <f t="shared" si="54"/>
        <v>1</v>
      </c>
      <c r="EN13" s="18">
        <f t="shared" si="54"/>
        <v>1</v>
      </c>
      <c r="EO13" s="18">
        <f t="shared" si="54"/>
        <v>1</v>
      </c>
      <c r="EP13" s="18">
        <f t="shared" si="54"/>
        <v>1</v>
      </c>
      <c r="EQ13" s="18">
        <f t="shared" si="54"/>
        <v>1</v>
      </c>
      <c r="ER13" s="18">
        <f t="shared" si="54"/>
        <v>1</v>
      </c>
      <c r="ES13" s="18">
        <f t="shared" si="54"/>
        <v>1</v>
      </c>
      <c r="ET13" s="18">
        <f t="shared" si="54"/>
        <v>1</v>
      </c>
      <c r="EU13" s="18">
        <f t="shared" si="54"/>
        <v>1</v>
      </c>
      <c r="EV13" s="18">
        <f t="shared" si="54"/>
        <v>1</v>
      </c>
      <c r="EW13" s="18">
        <f t="shared" si="54"/>
        <v>1</v>
      </c>
      <c r="EX13" s="18">
        <f t="shared" si="54"/>
        <v>1</v>
      </c>
      <c r="EY13" s="18">
        <f t="shared" si="54"/>
        <v>1</v>
      </c>
      <c r="EZ13" s="18">
        <f t="shared" si="54"/>
        <v>1</v>
      </c>
      <c r="FA13" s="18">
        <f t="shared" si="54"/>
        <v>1</v>
      </c>
      <c r="FB13" s="18">
        <f t="shared" si="54"/>
        <v>1</v>
      </c>
      <c r="FC13" s="18">
        <f t="shared" si="54"/>
        <v>1</v>
      </c>
      <c r="FD13" s="18">
        <f t="shared" si="54"/>
        <v>1</v>
      </c>
      <c r="FE13" s="18">
        <f t="shared" si="54"/>
        <v>1</v>
      </c>
      <c r="FF13" s="18">
        <f t="shared" si="54"/>
        <v>1</v>
      </c>
      <c r="FG13" s="18">
        <f t="shared" si="54"/>
        <v>1</v>
      </c>
      <c r="FH13" s="18">
        <f t="shared" si="54"/>
        <v>1</v>
      </c>
      <c r="FI13" s="18">
        <f t="shared" si="54"/>
        <v>1</v>
      </c>
      <c r="FJ13" s="18">
        <f t="shared" si="54"/>
        <v>1</v>
      </c>
      <c r="FK13" s="18">
        <f t="shared" si="54"/>
        <v>1</v>
      </c>
      <c r="FL13" s="18">
        <f t="shared" si="54"/>
        <v>1</v>
      </c>
      <c r="FM13" s="18">
        <f t="shared" si="54"/>
        <v>1</v>
      </c>
      <c r="FN13" s="18">
        <f t="shared" si="54"/>
        <v>1</v>
      </c>
      <c r="FO13" s="18">
        <f t="shared" si="54"/>
        <v>1</v>
      </c>
      <c r="FP13" s="18">
        <f t="shared" si="54"/>
        <v>1</v>
      </c>
      <c r="FQ13" s="18">
        <f t="shared" si="54"/>
        <v>1</v>
      </c>
      <c r="FR13" s="18">
        <f t="shared" si="54"/>
        <v>1</v>
      </c>
      <c r="FS13" s="18">
        <f t="shared" si="54"/>
        <v>1</v>
      </c>
      <c r="FT13" s="18">
        <f t="shared" si="54"/>
        <v>1</v>
      </c>
      <c r="FU13" s="18">
        <f t="shared" si="54"/>
        <v>1</v>
      </c>
      <c r="FV13" s="18">
        <f t="shared" si="54"/>
        <v>1</v>
      </c>
      <c r="FW13" s="18">
        <f t="shared" si="54"/>
        <v>1</v>
      </c>
      <c r="FX13" s="18">
        <f t="shared" si="54"/>
        <v>1</v>
      </c>
      <c r="FY13" s="18">
        <f t="shared" si="54"/>
        <v>1</v>
      </c>
      <c r="FZ13" s="18">
        <f t="shared" si="54"/>
        <v>1</v>
      </c>
      <c r="GA13" s="18">
        <f t="shared" si="54"/>
        <v>1</v>
      </c>
      <c r="GB13" s="18">
        <f t="shared" si="54"/>
        <v>1</v>
      </c>
      <c r="GC13" s="18">
        <f t="shared" si="54"/>
        <v>1</v>
      </c>
      <c r="GD13" s="18">
        <f t="shared" si="54"/>
        <v>1</v>
      </c>
      <c r="GE13" s="18">
        <f t="shared" si="54"/>
        <v>1</v>
      </c>
      <c r="GF13" s="18">
        <f t="shared" si="54"/>
        <v>1</v>
      </c>
      <c r="GG13" s="18">
        <f t="shared" si="54"/>
        <v>1</v>
      </c>
      <c r="GH13" s="18">
        <f t="shared" si="54"/>
        <v>1</v>
      </c>
      <c r="GI13" s="18">
        <f t="shared" si="54"/>
        <v>1</v>
      </c>
      <c r="GJ13" s="18">
        <f t="shared" si="54"/>
        <v>1</v>
      </c>
      <c r="GK13" s="18">
        <f t="shared" si="54"/>
        <v>1</v>
      </c>
      <c r="GL13" s="18">
        <f t="shared" si="54"/>
        <v>1</v>
      </c>
      <c r="GM13" s="18">
        <f t="shared" si="54"/>
        <v>1</v>
      </c>
      <c r="GN13" s="18">
        <f t="shared" si="54"/>
        <v>1</v>
      </c>
      <c r="GO13" s="18">
        <f t="shared" si="54"/>
        <v>1</v>
      </c>
      <c r="GP13" s="18">
        <f t="shared" si="54"/>
        <v>1</v>
      </c>
      <c r="GQ13" s="18">
        <f t="shared" si="54"/>
        <v>1</v>
      </c>
      <c r="GR13" s="18">
        <f t="shared" ref="GR13:HX13" si="55">COUNTIFS(GR$19:GR$75,"=1",$C$19:$C$75,"B",$D$19:$D$75,"5.2",$E$19:$E$75,"Expansión",$F$19:$F$75,"Cerro")</f>
        <v>1</v>
      </c>
      <c r="GS13" s="18">
        <f t="shared" si="55"/>
        <v>1</v>
      </c>
      <c r="GT13" s="18">
        <f t="shared" si="55"/>
        <v>1</v>
      </c>
      <c r="GU13" s="18">
        <f t="shared" si="55"/>
        <v>1</v>
      </c>
      <c r="GV13" s="18">
        <f t="shared" si="55"/>
        <v>1</v>
      </c>
      <c r="GW13" s="18">
        <f t="shared" si="55"/>
        <v>1</v>
      </c>
      <c r="GX13" s="18">
        <f t="shared" si="55"/>
        <v>1</v>
      </c>
      <c r="GY13" s="18">
        <f t="shared" si="55"/>
        <v>1</v>
      </c>
      <c r="GZ13" s="18">
        <f t="shared" si="55"/>
        <v>1</v>
      </c>
      <c r="HA13" s="18">
        <f t="shared" si="55"/>
        <v>1</v>
      </c>
      <c r="HB13" s="18">
        <f t="shared" si="55"/>
        <v>1</v>
      </c>
      <c r="HC13" s="18">
        <f t="shared" si="55"/>
        <v>1</v>
      </c>
      <c r="HD13" s="18">
        <f t="shared" si="55"/>
        <v>1</v>
      </c>
      <c r="HE13" s="18">
        <f t="shared" si="55"/>
        <v>1</v>
      </c>
      <c r="HF13" s="18">
        <f t="shared" si="55"/>
        <v>1</v>
      </c>
      <c r="HG13" s="18">
        <f t="shared" si="55"/>
        <v>1</v>
      </c>
      <c r="HH13" s="18">
        <f t="shared" si="55"/>
        <v>1</v>
      </c>
      <c r="HI13" s="18">
        <f t="shared" si="55"/>
        <v>1</v>
      </c>
      <c r="HJ13" s="18">
        <f t="shared" si="55"/>
        <v>1</v>
      </c>
      <c r="HK13" s="18">
        <f t="shared" si="55"/>
        <v>1</v>
      </c>
      <c r="HL13" s="18">
        <f t="shared" si="55"/>
        <v>1</v>
      </c>
      <c r="HM13" s="18">
        <f t="shared" si="55"/>
        <v>1</v>
      </c>
      <c r="HN13" s="18">
        <f t="shared" si="55"/>
        <v>1</v>
      </c>
      <c r="HO13" s="18">
        <f t="shared" si="55"/>
        <v>1</v>
      </c>
      <c r="HP13" s="18">
        <f t="shared" si="55"/>
        <v>1</v>
      </c>
      <c r="HQ13" s="18">
        <f t="shared" si="55"/>
        <v>1</v>
      </c>
      <c r="HR13" s="18">
        <f t="shared" si="55"/>
        <v>1</v>
      </c>
      <c r="HS13" s="18">
        <f t="shared" si="55"/>
        <v>1</v>
      </c>
      <c r="HT13" s="18">
        <f t="shared" si="55"/>
        <v>1</v>
      </c>
      <c r="HU13" s="18">
        <f t="shared" si="55"/>
        <v>1</v>
      </c>
      <c r="HV13" s="18">
        <f t="shared" si="55"/>
        <v>1</v>
      </c>
      <c r="HW13" s="18">
        <f t="shared" si="55"/>
        <v>1</v>
      </c>
      <c r="HX13" s="18">
        <f t="shared" si="55"/>
        <v>1</v>
      </c>
    </row>
    <row r="14" spans="1:232" hidden="1" x14ac:dyDescent="0.2"/>
    <row r="15" spans="1:232" hidden="1" x14ac:dyDescent="0.2"/>
    <row r="17" spans="1:232" ht="78.599999999999994" customHeight="1" x14ac:dyDescent="0.2">
      <c r="B17" s="137" t="s">
        <v>203</v>
      </c>
      <c r="C17" s="137"/>
      <c r="D17" s="137"/>
      <c r="E17" s="137"/>
      <c r="F17" s="137"/>
      <c r="G17" s="104">
        <f t="shared" ref="G17:BR17" si="56">G1</f>
        <v>45584.083333333336</v>
      </c>
      <c r="H17" s="104">
        <f t="shared" si="56"/>
        <v>45584.125</v>
      </c>
      <c r="I17" s="104">
        <f t="shared" si="56"/>
        <v>45584.166666666664</v>
      </c>
      <c r="J17" s="104">
        <f t="shared" si="56"/>
        <v>45584.208333333328</v>
      </c>
      <c r="K17" s="104">
        <f t="shared" si="56"/>
        <v>45584.249999999993</v>
      </c>
      <c r="L17" s="104">
        <f t="shared" si="56"/>
        <v>45584.291666666657</v>
      </c>
      <c r="M17" s="104">
        <f t="shared" si="56"/>
        <v>45584.333333333321</v>
      </c>
      <c r="N17" s="104">
        <f t="shared" si="56"/>
        <v>45584.374999999985</v>
      </c>
      <c r="O17" s="104">
        <f t="shared" si="56"/>
        <v>45584.41666666665</v>
      </c>
      <c r="P17" s="104">
        <f t="shared" si="56"/>
        <v>45584.458333333314</v>
      </c>
      <c r="Q17" s="104">
        <f t="shared" si="56"/>
        <v>45584.499999999978</v>
      </c>
      <c r="R17" s="104">
        <f t="shared" si="56"/>
        <v>45584.541666666642</v>
      </c>
      <c r="S17" s="104">
        <f t="shared" si="56"/>
        <v>45584.583333333307</v>
      </c>
      <c r="T17" s="104">
        <f t="shared" si="56"/>
        <v>45584.624999999971</v>
      </c>
      <c r="U17" s="104">
        <f t="shared" si="56"/>
        <v>45584.666666666635</v>
      </c>
      <c r="V17" s="104">
        <f t="shared" si="56"/>
        <v>45584.708333333299</v>
      </c>
      <c r="W17" s="104">
        <f t="shared" si="56"/>
        <v>45584.749999999964</v>
      </c>
      <c r="X17" s="104">
        <f t="shared" si="56"/>
        <v>45584.791666666628</v>
      </c>
      <c r="Y17" s="104">
        <f t="shared" si="56"/>
        <v>45584.833333333292</v>
      </c>
      <c r="Z17" s="104">
        <f t="shared" si="56"/>
        <v>45584.874999999956</v>
      </c>
      <c r="AA17" s="104">
        <f t="shared" si="56"/>
        <v>45584.916666666621</v>
      </c>
      <c r="AB17" s="104">
        <f t="shared" si="56"/>
        <v>45584.958333333285</v>
      </c>
      <c r="AC17" s="104">
        <f t="shared" si="56"/>
        <v>45584.999999999949</v>
      </c>
      <c r="AD17" s="104">
        <f t="shared" si="56"/>
        <v>45585.041666666613</v>
      </c>
      <c r="AE17" s="104">
        <f t="shared" si="56"/>
        <v>45585.083333333278</v>
      </c>
      <c r="AF17" s="104">
        <f t="shared" si="56"/>
        <v>45585.124999999942</v>
      </c>
      <c r="AG17" s="104">
        <f t="shared" si="56"/>
        <v>45585.166666666606</v>
      </c>
      <c r="AH17" s="104">
        <f t="shared" si="56"/>
        <v>45585.20833333327</v>
      </c>
      <c r="AI17" s="104">
        <f t="shared" si="56"/>
        <v>45585.249999999935</v>
      </c>
      <c r="AJ17" s="104">
        <f t="shared" si="56"/>
        <v>45585.291666666599</v>
      </c>
      <c r="AK17" s="104">
        <f t="shared" si="56"/>
        <v>45585.333333333263</v>
      </c>
      <c r="AL17" s="104">
        <f t="shared" si="56"/>
        <v>45585.374999999927</v>
      </c>
      <c r="AM17" s="104">
        <f t="shared" si="56"/>
        <v>45585.416666666591</v>
      </c>
      <c r="AN17" s="104">
        <f t="shared" si="56"/>
        <v>45585.458333333256</v>
      </c>
      <c r="AO17" s="104">
        <f t="shared" si="56"/>
        <v>45585.49999999992</v>
      </c>
      <c r="AP17" s="104">
        <f t="shared" si="56"/>
        <v>45585.541666666584</v>
      </c>
      <c r="AQ17" s="104">
        <f t="shared" si="56"/>
        <v>45585.583333333248</v>
      </c>
      <c r="AR17" s="104">
        <f t="shared" si="56"/>
        <v>45585.624999999913</v>
      </c>
      <c r="AS17" s="104">
        <f t="shared" si="56"/>
        <v>45585.666666666577</v>
      </c>
      <c r="AT17" s="104">
        <f t="shared" si="56"/>
        <v>45585.708333333241</v>
      </c>
      <c r="AU17" s="104">
        <f t="shared" si="56"/>
        <v>45585.749999999905</v>
      </c>
      <c r="AV17" s="104">
        <f t="shared" si="56"/>
        <v>45585.79166666657</v>
      </c>
      <c r="AW17" s="104">
        <f t="shared" si="56"/>
        <v>45585.833333333234</v>
      </c>
      <c r="AX17" s="104">
        <f t="shared" si="56"/>
        <v>45585.874999999898</v>
      </c>
      <c r="AY17" s="104">
        <f t="shared" si="56"/>
        <v>45585.916666666562</v>
      </c>
      <c r="AZ17" s="104">
        <f t="shared" si="56"/>
        <v>45585.958333333227</v>
      </c>
      <c r="BA17" s="89">
        <f t="shared" si="56"/>
        <v>45585.999999999891</v>
      </c>
      <c r="BB17" s="89">
        <f t="shared" si="56"/>
        <v>45586.041666666555</v>
      </c>
      <c r="BC17" s="89">
        <f t="shared" si="56"/>
        <v>45586.083333333219</v>
      </c>
      <c r="BD17" s="89">
        <f t="shared" si="56"/>
        <v>45586.124999999884</v>
      </c>
      <c r="BE17" s="89">
        <f t="shared" si="56"/>
        <v>45586.166666666548</v>
      </c>
      <c r="BF17" s="89">
        <f t="shared" si="56"/>
        <v>45586.208333333212</v>
      </c>
      <c r="BG17" s="89">
        <f t="shared" si="56"/>
        <v>45586.249999999876</v>
      </c>
      <c r="BH17" s="89">
        <f t="shared" si="56"/>
        <v>45586.291666666541</v>
      </c>
      <c r="BI17" s="89">
        <f t="shared" si="56"/>
        <v>45586.333333333205</v>
      </c>
      <c r="BJ17" s="89">
        <f t="shared" si="56"/>
        <v>45586.374999999869</v>
      </c>
      <c r="BK17" s="89">
        <f t="shared" si="56"/>
        <v>45586.416666666533</v>
      </c>
      <c r="BL17" s="89">
        <f t="shared" si="56"/>
        <v>45586.458333333198</v>
      </c>
      <c r="BM17" s="89">
        <f t="shared" si="56"/>
        <v>45586.499999999862</v>
      </c>
      <c r="BN17" s="89">
        <f t="shared" si="56"/>
        <v>45586.541666666526</v>
      </c>
      <c r="BO17" s="89">
        <f t="shared" si="56"/>
        <v>45586.58333333319</v>
      </c>
      <c r="BP17" s="89">
        <f t="shared" si="56"/>
        <v>45586.624999999854</v>
      </c>
      <c r="BQ17" s="89">
        <f t="shared" si="56"/>
        <v>45586.666666666519</v>
      </c>
      <c r="BR17" s="89">
        <f t="shared" si="56"/>
        <v>45586.708333333183</v>
      </c>
      <c r="BS17" s="89">
        <f t="shared" ref="BS17:ED17" si="57">BS1</f>
        <v>45586.749999999847</v>
      </c>
      <c r="BT17" s="89">
        <f t="shared" si="57"/>
        <v>45586.791666666511</v>
      </c>
      <c r="BU17" s="89">
        <f t="shared" si="57"/>
        <v>45586.833333333176</v>
      </c>
      <c r="BV17" s="89">
        <f t="shared" si="57"/>
        <v>45586.87499999984</v>
      </c>
      <c r="BW17" s="89">
        <f t="shared" si="57"/>
        <v>45586.916666666504</v>
      </c>
      <c r="BX17" s="89">
        <f t="shared" si="57"/>
        <v>45586.958333333168</v>
      </c>
      <c r="BY17" s="89">
        <f t="shared" si="57"/>
        <v>45586.999999999833</v>
      </c>
      <c r="BZ17" s="89">
        <f t="shared" si="57"/>
        <v>45587.041666666497</v>
      </c>
      <c r="CA17" s="89">
        <f t="shared" si="57"/>
        <v>45587.083333333161</v>
      </c>
      <c r="CB17" s="89">
        <f t="shared" si="57"/>
        <v>45587.124999999825</v>
      </c>
      <c r="CC17" s="89">
        <f t="shared" si="57"/>
        <v>45587.16666666649</v>
      </c>
      <c r="CD17" s="89">
        <f t="shared" si="57"/>
        <v>45587.208333333154</v>
      </c>
      <c r="CE17" s="89">
        <f t="shared" si="57"/>
        <v>45587.249999999818</v>
      </c>
      <c r="CF17" s="89">
        <f t="shared" si="57"/>
        <v>45587.291666666482</v>
      </c>
      <c r="CG17" s="89">
        <f t="shared" si="57"/>
        <v>45587.333333333147</v>
      </c>
      <c r="CH17" s="89">
        <f t="shared" si="57"/>
        <v>45587.374999999811</v>
      </c>
      <c r="CI17" s="89">
        <f t="shared" si="57"/>
        <v>45587.416666666475</v>
      </c>
      <c r="CJ17" s="89">
        <f t="shared" si="57"/>
        <v>45587.458333333139</v>
      </c>
      <c r="CK17" s="89">
        <f t="shared" si="57"/>
        <v>45587.499999999804</v>
      </c>
      <c r="CL17" s="89">
        <f t="shared" si="57"/>
        <v>45587.541666666468</v>
      </c>
      <c r="CM17" s="89">
        <f t="shared" si="57"/>
        <v>45587.583333333132</v>
      </c>
      <c r="CN17" s="89">
        <f t="shared" si="57"/>
        <v>45587.624999999796</v>
      </c>
      <c r="CO17" s="89">
        <f t="shared" si="57"/>
        <v>45587.666666666461</v>
      </c>
      <c r="CP17" s="89">
        <f t="shared" si="57"/>
        <v>45587.708333333125</v>
      </c>
      <c r="CQ17" s="89">
        <f t="shared" si="57"/>
        <v>45587.749999999789</v>
      </c>
      <c r="CR17" s="89">
        <f t="shared" si="57"/>
        <v>45587.791666666453</v>
      </c>
      <c r="CS17" s="89">
        <f t="shared" si="57"/>
        <v>45587.833333333117</v>
      </c>
      <c r="CT17" s="89">
        <f t="shared" si="57"/>
        <v>45587.874999999782</v>
      </c>
      <c r="CU17" s="89">
        <f t="shared" si="57"/>
        <v>45587.916666666446</v>
      </c>
      <c r="CV17" s="89">
        <f t="shared" si="57"/>
        <v>45587.95833333311</v>
      </c>
      <c r="CW17" s="89">
        <f t="shared" si="57"/>
        <v>45587.999999999774</v>
      </c>
      <c r="CX17" s="89">
        <f t="shared" si="57"/>
        <v>45588.041666666439</v>
      </c>
      <c r="CY17" s="89">
        <f t="shared" si="57"/>
        <v>45588.083333333103</v>
      </c>
      <c r="CZ17" s="89">
        <f t="shared" si="57"/>
        <v>45588.124999999767</v>
      </c>
      <c r="DA17" s="89">
        <f t="shared" si="57"/>
        <v>45588.166666666431</v>
      </c>
      <c r="DB17" s="89">
        <f t="shared" si="57"/>
        <v>45588.208333333096</v>
      </c>
      <c r="DC17" s="89">
        <f t="shared" si="57"/>
        <v>45588.24999999976</v>
      </c>
      <c r="DD17" s="89">
        <f t="shared" si="57"/>
        <v>45588.291666666424</v>
      </c>
      <c r="DE17" s="89">
        <f t="shared" si="57"/>
        <v>45588.333333333088</v>
      </c>
      <c r="DF17" s="89">
        <f t="shared" si="57"/>
        <v>45588.374999999753</v>
      </c>
      <c r="DG17" s="89">
        <f t="shared" si="57"/>
        <v>45588.416666666417</v>
      </c>
      <c r="DH17" s="89">
        <f t="shared" si="57"/>
        <v>45588.458333333081</v>
      </c>
      <c r="DI17" s="89">
        <f t="shared" si="57"/>
        <v>45588.499999999745</v>
      </c>
      <c r="DJ17" s="89">
        <f t="shared" si="57"/>
        <v>45588.54166666641</v>
      </c>
      <c r="DK17" s="89">
        <f t="shared" si="57"/>
        <v>45588.583333333074</v>
      </c>
      <c r="DL17" s="89">
        <f t="shared" si="57"/>
        <v>45588.624999999738</v>
      </c>
      <c r="DM17" s="89">
        <f t="shared" si="57"/>
        <v>45588.666666666402</v>
      </c>
      <c r="DN17" s="89">
        <f t="shared" si="57"/>
        <v>45588.708333333067</v>
      </c>
      <c r="DO17" s="89">
        <f t="shared" si="57"/>
        <v>45588.749999999731</v>
      </c>
      <c r="DP17" s="89">
        <f t="shared" si="57"/>
        <v>45588.791666666395</v>
      </c>
      <c r="DQ17" s="89">
        <f t="shared" si="57"/>
        <v>45588.833333333059</v>
      </c>
      <c r="DR17" s="89">
        <f t="shared" si="57"/>
        <v>45588.874999999724</v>
      </c>
      <c r="DS17" s="89">
        <f t="shared" si="57"/>
        <v>45588.916666666388</v>
      </c>
      <c r="DT17" s="89">
        <f t="shared" si="57"/>
        <v>45588.958333333052</v>
      </c>
      <c r="DU17" s="89">
        <f t="shared" si="57"/>
        <v>45588.999999999716</v>
      </c>
      <c r="DV17" s="89">
        <f t="shared" si="57"/>
        <v>45589.04166666638</v>
      </c>
      <c r="DW17" s="89">
        <f t="shared" si="57"/>
        <v>45589.083333333045</v>
      </c>
      <c r="DX17" s="89">
        <f t="shared" si="57"/>
        <v>45589.124999999709</v>
      </c>
      <c r="DY17" s="89">
        <f t="shared" si="57"/>
        <v>45589.166666666373</v>
      </c>
      <c r="DZ17" s="89">
        <f t="shared" si="57"/>
        <v>45589.208333333037</v>
      </c>
      <c r="EA17" s="89">
        <f t="shared" si="57"/>
        <v>45589.249999999702</v>
      </c>
      <c r="EB17" s="89">
        <f t="shared" si="57"/>
        <v>45589.291666666366</v>
      </c>
      <c r="EC17" s="89">
        <f t="shared" si="57"/>
        <v>45589.33333333303</v>
      </c>
      <c r="ED17" s="89">
        <f t="shared" si="57"/>
        <v>45589.374999999694</v>
      </c>
      <c r="EE17" s="89">
        <f t="shared" ref="EE17:GP17" si="58">EE1</f>
        <v>45589.416666666359</v>
      </c>
      <c r="EF17" s="89">
        <f t="shared" si="58"/>
        <v>45589.458333333023</v>
      </c>
      <c r="EG17" s="89">
        <f t="shared" si="58"/>
        <v>45589.499999999687</v>
      </c>
      <c r="EH17" s="89">
        <f t="shared" si="58"/>
        <v>45589.541666666351</v>
      </c>
      <c r="EI17" s="89">
        <f t="shared" si="58"/>
        <v>45589.583333333016</v>
      </c>
      <c r="EJ17" s="89">
        <f t="shared" si="58"/>
        <v>45589.62499999968</v>
      </c>
      <c r="EK17" s="89">
        <f t="shared" si="58"/>
        <v>45589.666666666344</v>
      </c>
      <c r="EL17" s="89">
        <f t="shared" si="58"/>
        <v>45589.708333333008</v>
      </c>
      <c r="EM17" s="89">
        <f t="shared" si="58"/>
        <v>45589.749999999673</v>
      </c>
      <c r="EN17" s="89">
        <f t="shared" si="58"/>
        <v>45589.791666666337</v>
      </c>
      <c r="EO17" s="89">
        <f t="shared" si="58"/>
        <v>45589.833333333001</v>
      </c>
      <c r="EP17" s="89">
        <f t="shared" si="58"/>
        <v>45589.874999999665</v>
      </c>
      <c r="EQ17" s="89">
        <f t="shared" si="58"/>
        <v>45589.91666666633</v>
      </c>
      <c r="ER17" s="89">
        <f t="shared" si="58"/>
        <v>45589.958333332994</v>
      </c>
      <c r="ES17" s="89">
        <f t="shared" si="58"/>
        <v>45589.999999999658</v>
      </c>
      <c r="ET17" s="89">
        <f t="shared" si="58"/>
        <v>45590.041666666322</v>
      </c>
      <c r="EU17" s="89">
        <f t="shared" si="58"/>
        <v>45590.083333332987</v>
      </c>
      <c r="EV17" s="89">
        <f t="shared" si="58"/>
        <v>45590.124999999651</v>
      </c>
      <c r="EW17" s="89">
        <f t="shared" si="58"/>
        <v>45590.166666666315</v>
      </c>
      <c r="EX17" s="89">
        <f t="shared" si="58"/>
        <v>45590.208333332979</v>
      </c>
      <c r="EY17" s="89">
        <f t="shared" si="58"/>
        <v>45590.249999999643</v>
      </c>
      <c r="EZ17" s="89">
        <f t="shared" si="58"/>
        <v>45590.291666666308</v>
      </c>
      <c r="FA17" s="89">
        <f t="shared" si="58"/>
        <v>45590.333333332972</v>
      </c>
      <c r="FB17" s="89">
        <f t="shared" si="58"/>
        <v>45590.374999999636</v>
      </c>
      <c r="FC17" s="89">
        <f t="shared" si="58"/>
        <v>45590.4166666663</v>
      </c>
      <c r="FD17" s="89">
        <f t="shared" si="58"/>
        <v>45590.458333332965</v>
      </c>
      <c r="FE17" s="89">
        <f t="shared" si="58"/>
        <v>45590.499999999629</v>
      </c>
      <c r="FF17" s="89">
        <f t="shared" si="58"/>
        <v>45590.541666666293</v>
      </c>
      <c r="FG17" s="89">
        <f t="shared" si="58"/>
        <v>45590.583333332957</v>
      </c>
      <c r="FH17" s="89">
        <f t="shared" si="58"/>
        <v>45590.624999999622</v>
      </c>
      <c r="FI17" s="89">
        <f t="shared" si="58"/>
        <v>45590.666666666286</v>
      </c>
      <c r="FJ17" s="89">
        <f t="shared" si="58"/>
        <v>45590.70833333295</v>
      </c>
      <c r="FK17" s="89">
        <f t="shared" si="58"/>
        <v>45590.749999999614</v>
      </c>
      <c r="FL17" s="89">
        <f t="shared" si="58"/>
        <v>45590.791666666279</v>
      </c>
      <c r="FM17" s="89">
        <f t="shared" si="58"/>
        <v>45590.833333332943</v>
      </c>
      <c r="FN17" s="89">
        <f t="shared" si="58"/>
        <v>45590.874999999607</v>
      </c>
      <c r="FO17" s="89">
        <f t="shared" si="58"/>
        <v>45590.916666666271</v>
      </c>
      <c r="FP17" s="89">
        <f t="shared" si="58"/>
        <v>45590.958333332936</v>
      </c>
      <c r="FQ17" s="89">
        <f t="shared" si="58"/>
        <v>45590.9999999996</v>
      </c>
      <c r="FR17" s="89">
        <f t="shared" si="58"/>
        <v>45591.041666666264</v>
      </c>
      <c r="FS17" s="89">
        <f t="shared" si="58"/>
        <v>45591.083333332928</v>
      </c>
      <c r="FT17" s="89">
        <f t="shared" si="58"/>
        <v>45591.124999999593</v>
      </c>
      <c r="FU17" s="89">
        <f t="shared" si="58"/>
        <v>45591.166666666257</v>
      </c>
      <c r="FV17" s="89">
        <f t="shared" si="58"/>
        <v>45591.208333332921</v>
      </c>
      <c r="FW17" s="89">
        <f t="shared" si="58"/>
        <v>45591.249999999585</v>
      </c>
      <c r="FX17" s="89">
        <f t="shared" si="58"/>
        <v>45591.29166666625</v>
      </c>
      <c r="FY17" s="89">
        <f t="shared" si="58"/>
        <v>45591.333333332914</v>
      </c>
      <c r="FZ17" s="89">
        <f t="shared" si="58"/>
        <v>45591.374999999578</v>
      </c>
      <c r="GA17" s="89">
        <f t="shared" si="58"/>
        <v>45591.416666666242</v>
      </c>
      <c r="GB17" s="89">
        <f t="shared" si="58"/>
        <v>45591.458333332906</v>
      </c>
      <c r="GC17" s="89">
        <f t="shared" si="58"/>
        <v>45591.499999999571</v>
      </c>
      <c r="GD17" s="89">
        <f t="shared" si="58"/>
        <v>45591.541666666235</v>
      </c>
      <c r="GE17" s="89">
        <f t="shared" si="58"/>
        <v>45591.583333332899</v>
      </c>
      <c r="GF17" s="89">
        <f t="shared" si="58"/>
        <v>45591.624999999563</v>
      </c>
      <c r="GG17" s="89">
        <f t="shared" si="58"/>
        <v>45591.666666666228</v>
      </c>
      <c r="GH17" s="89">
        <f t="shared" si="58"/>
        <v>45591.708333332892</v>
      </c>
      <c r="GI17" s="89">
        <f t="shared" si="58"/>
        <v>45591.749999999556</v>
      </c>
      <c r="GJ17" s="89">
        <f t="shared" si="58"/>
        <v>45591.79166666622</v>
      </c>
      <c r="GK17" s="89">
        <f t="shared" si="58"/>
        <v>45591.833333332885</v>
      </c>
      <c r="GL17" s="89">
        <f t="shared" si="58"/>
        <v>45591.874999999549</v>
      </c>
      <c r="GM17" s="89">
        <f t="shared" si="58"/>
        <v>45591.916666666213</v>
      </c>
      <c r="GN17" s="89">
        <f t="shared" si="58"/>
        <v>45591.958333332877</v>
      </c>
      <c r="GO17" s="89">
        <f t="shared" si="58"/>
        <v>45591.999999999542</v>
      </c>
      <c r="GP17" s="89">
        <f t="shared" si="58"/>
        <v>45592.041666666206</v>
      </c>
      <c r="GQ17" s="89">
        <f t="shared" ref="GQ17:HX17" si="59">GQ1</f>
        <v>45592.08333333287</v>
      </c>
      <c r="GR17" s="89">
        <f t="shared" si="59"/>
        <v>45592.124999999534</v>
      </c>
      <c r="GS17" s="89">
        <f t="shared" si="59"/>
        <v>45592.166666666199</v>
      </c>
      <c r="GT17" s="89">
        <f t="shared" si="59"/>
        <v>45592.208333332863</v>
      </c>
      <c r="GU17" s="89">
        <f t="shared" si="59"/>
        <v>45592.249999999527</v>
      </c>
      <c r="GV17" s="89">
        <f t="shared" si="59"/>
        <v>45592.291666666191</v>
      </c>
      <c r="GW17" s="89">
        <f t="shared" si="59"/>
        <v>45592.333333332856</v>
      </c>
      <c r="GX17" s="89">
        <f t="shared" si="59"/>
        <v>45592.37499999952</v>
      </c>
      <c r="GY17" s="89">
        <f t="shared" si="59"/>
        <v>45592.416666666184</v>
      </c>
      <c r="GZ17" s="89">
        <f t="shared" si="59"/>
        <v>45592.458333332848</v>
      </c>
      <c r="HA17" s="89">
        <f t="shared" si="59"/>
        <v>45592.499999999513</v>
      </c>
      <c r="HB17" s="89">
        <f t="shared" si="59"/>
        <v>45592.541666666177</v>
      </c>
      <c r="HC17" s="89">
        <f t="shared" si="59"/>
        <v>45592.583333332841</v>
      </c>
      <c r="HD17" s="89">
        <f t="shared" si="59"/>
        <v>45592.624999999505</v>
      </c>
      <c r="HE17" s="89">
        <f t="shared" si="59"/>
        <v>45592.666666666169</v>
      </c>
      <c r="HF17" s="89">
        <f t="shared" si="59"/>
        <v>45592.708333332834</v>
      </c>
      <c r="HG17" s="89">
        <f t="shared" si="59"/>
        <v>45592.749999999498</v>
      </c>
      <c r="HH17" s="89">
        <f t="shared" si="59"/>
        <v>45592.791666666162</v>
      </c>
      <c r="HI17" s="89">
        <f t="shared" si="59"/>
        <v>45592.833333332826</v>
      </c>
      <c r="HJ17" s="89">
        <f t="shared" si="59"/>
        <v>45592.874999999491</v>
      </c>
      <c r="HK17" s="89">
        <f t="shared" si="59"/>
        <v>45592.916666666155</v>
      </c>
      <c r="HL17" s="89">
        <f t="shared" si="59"/>
        <v>45592.958333332819</v>
      </c>
      <c r="HM17" s="89">
        <f t="shared" si="59"/>
        <v>45592.999999999483</v>
      </c>
      <c r="HN17" s="89">
        <f t="shared" si="59"/>
        <v>45593.041666666148</v>
      </c>
      <c r="HO17" s="89">
        <f t="shared" si="59"/>
        <v>45593.083333332812</v>
      </c>
      <c r="HP17" s="89">
        <f t="shared" si="59"/>
        <v>45593.124999999476</v>
      </c>
      <c r="HQ17" s="89">
        <f t="shared" si="59"/>
        <v>45593.16666666614</v>
      </c>
      <c r="HR17" s="89">
        <f t="shared" si="59"/>
        <v>45593.208333332805</v>
      </c>
      <c r="HS17" s="89">
        <f t="shared" si="59"/>
        <v>45593.249999999469</v>
      </c>
      <c r="HT17" s="89">
        <f t="shared" si="59"/>
        <v>45593.291666666133</v>
      </c>
      <c r="HU17" s="89">
        <f t="shared" si="59"/>
        <v>45593.333333332797</v>
      </c>
      <c r="HV17" s="89">
        <f t="shared" si="59"/>
        <v>45593.374999999462</v>
      </c>
      <c r="HW17" s="89">
        <f t="shared" si="59"/>
        <v>45593.416666666126</v>
      </c>
      <c r="HX17" s="89">
        <f t="shared" si="59"/>
        <v>45593.45833333279</v>
      </c>
    </row>
    <row r="18" spans="1:232" ht="28.15" customHeight="1" x14ac:dyDescent="0.2">
      <c r="B18" s="87" t="s">
        <v>64</v>
      </c>
      <c r="C18" s="87" t="s">
        <v>130</v>
      </c>
      <c r="D18" s="87" t="s">
        <v>129</v>
      </c>
      <c r="E18" s="87" t="s">
        <v>126</v>
      </c>
      <c r="F18" s="87" t="s">
        <v>125</v>
      </c>
      <c r="G18" s="88">
        <f>'Plantilla Datos'!E4</f>
        <v>8.3333333333333329E-2</v>
      </c>
      <c r="H18" s="88">
        <f>G18+TIME(1,0,0)</f>
        <v>0.125</v>
      </c>
      <c r="I18" s="88">
        <f t="shared" ref="I18:AR18" si="60">H18+TIME(1,0,0)</f>
        <v>0.16666666666666666</v>
      </c>
      <c r="J18" s="88">
        <f t="shared" si="60"/>
        <v>0.20833333333333331</v>
      </c>
      <c r="K18" s="88">
        <f t="shared" si="60"/>
        <v>0.24999999999999997</v>
      </c>
      <c r="L18" s="88">
        <f t="shared" si="60"/>
        <v>0.29166666666666663</v>
      </c>
      <c r="M18" s="88">
        <f t="shared" si="60"/>
        <v>0.33333333333333331</v>
      </c>
      <c r="N18" s="88">
        <f t="shared" si="60"/>
        <v>0.375</v>
      </c>
      <c r="O18" s="88">
        <f t="shared" si="60"/>
        <v>0.41666666666666669</v>
      </c>
      <c r="P18" s="88">
        <f t="shared" si="60"/>
        <v>0.45833333333333337</v>
      </c>
      <c r="Q18" s="88">
        <f t="shared" si="60"/>
        <v>0.5</v>
      </c>
      <c r="R18" s="88">
        <f t="shared" si="60"/>
        <v>0.54166666666666663</v>
      </c>
      <c r="S18" s="88">
        <f t="shared" si="60"/>
        <v>0.58333333333333326</v>
      </c>
      <c r="T18" s="88">
        <f t="shared" si="60"/>
        <v>0.62499999999999989</v>
      </c>
      <c r="U18" s="88">
        <f t="shared" si="60"/>
        <v>0.66666666666666652</v>
      </c>
      <c r="V18" s="88">
        <f t="shared" si="60"/>
        <v>0.70833333333333315</v>
      </c>
      <c r="W18" s="88">
        <f t="shared" si="60"/>
        <v>0.74999999999999978</v>
      </c>
      <c r="X18" s="88">
        <f t="shared" si="60"/>
        <v>0.79166666666666641</v>
      </c>
      <c r="Y18" s="88">
        <f t="shared" si="60"/>
        <v>0.83333333333333304</v>
      </c>
      <c r="Z18" s="88">
        <f t="shared" si="60"/>
        <v>0.87499999999999967</v>
      </c>
      <c r="AA18" s="88">
        <f t="shared" si="60"/>
        <v>0.9166666666666663</v>
      </c>
      <c r="AB18" s="88">
        <f t="shared" si="60"/>
        <v>0.95833333333333293</v>
      </c>
      <c r="AC18" s="88">
        <f t="shared" si="60"/>
        <v>0.99999999999999956</v>
      </c>
      <c r="AD18" s="88">
        <f t="shared" si="60"/>
        <v>1.0416666666666663</v>
      </c>
      <c r="AE18" s="88">
        <f t="shared" si="60"/>
        <v>1.083333333333333</v>
      </c>
      <c r="AF18" s="88">
        <f t="shared" si="60"/>
        <v>1.1249999999999998</v>
      </c>
      <c r="AG18" s="88">
        <f t="shared" si="60"/>
        <v>1.1666666666666665</v>
      </c>
      <c r="AH18" s="88">
        <f t="shared" si="60"/>
        <v>1.2083333333333333</v>
      </c>
      <c r="AI18" s="88">
        <f t="shared" si="60"/>
        <v>1.25</v>
      </c>
      <c r="AJ18" s="88">
        <f t="shared" si="60"/>
        <v>1.2916666666666667</v>
      </c>
      <c r="AK18" s="88">
        <f t="shared" si="60"/>
        <v>1.3333333333333335</v>
      </c>
      <c r="AL18" s="88">
        <f t="shared" si="60"/>
        <v>1.3750000000000002</v>
      </c>
      <c r="AM18" s="88">
        <f t="shared" si="60"/>
        <v>1.416666666666667</v>
      </c>
      <c r="AN18" s="88">
        <f t="shared" si="60"/>
        <v>1.4583333333333337</v>
      </c>
      <c r="AO18" s="88">
        <f t="shared" si="60"/>
        <v>1.5000000000000004</v>
      </c>
      <c r="AP18" s="88">
        <f t="shared" si="60"/>
        <v>1.5416666666666672</v>
      </c>
      <c r="AQ18" s="88">
        <f t="shared" si="60"/>
        <v>1.5833333333333339</v>
      </c>
      <c r="AR18" s="88">
        <f t="shared" si="60"/>
        <v>1.6250000000000007</v>
      </c>
      <c r="AS18" s="88">
        <f t="shared" ref="AS18" si="61">AR18+TIME(1,0,0)</f>
        <v>1.6666666666666674</v>
      </c>
      <c r="AT18" s="88">
        <f t="shared" ref="AT18" si="62">AS18+TIME(1,0,0)</f>
        <v>1.7083333333333341</v>
      </c>
      <c r="AU18" s="88">
        <f t="shared" ref="AU18" si="63">AT18+TIME(1,0,0)</f>
        <v>1.7500000000000009</v>
      </c>
      <c r="AV18" s="88">
        <f t="shared" ref="AV18" si="64">AU18+TIME(1,0,0)</f>
        <v>1.7916666666666676</v>
      </c>
      <c r="AW18" s="88">
        <f t="shared" ref="AW18" si="65">AV18+TIME(1,0,0)</f>
        <v>1.8333333333333344</v>
      </c>
      <c r="AX18" s="88">
        <f t="shared" ref="AX18" si="66">AW18+TIME(1,0,0)</f>
        <v>1.8750000000000011</v>
      </c>
      <c r="AY18" s="88">
        <f t="shared" ref="AY18" si="67">AX18+TIME(1,0,0)</f>
        <v>1.9166666666666679</v>
      </c>
      <c r="AZ18" s="88">
        <f t="shared" ref="AZ18" si="68">AY18+TIME(1,0,0)</f>
        <v>1.9583333333333346</v>
      </c>
      <c r="BA18" s="88">
        <f t="shared" ref="BA18" si="69">AZ18+TIME(1,0,0)</f>
        <v>2.0000000000000013</v>
      </c>
      <c r="BB18" s="88">
        <f t="shared" ref="BB18" si="70">BA18+TIME(1,0,0)</f>
        <v>2.0416666666666679</v>
      </c>
      <c r="BC18" s="88">
        <f t="shared" ref="BC18" si="71">BB18+TIME(1,0,0)</f>
        <v>2.0833333333333344</v>
      </c>
      <c r="BD18" s="88">
        <f t="shared" ref="BD18" si="72">BC18+TIME(1,0,0)</f>
        <v>2.1250000000000009</v>
      </c>
      <c r="BE18" s="88">
        <f t="shared" ref="BE18" si="73">BD18+TIME(1,0,0)</f>
        <v>2.1666666666666674</v>
      </c>
      <c r="BF18" s="88">
        <f t="shared" ref="BF18" si="74">BE18+TIME(1,0,0)</f>
        <v>2.2083333333333339</v>
      </c>
      <c r="BG18" s="88">
        <f t="shared" ref="BG18" si="75">BF18+TIME(1,0,0)</f>
        <v>2.2500000000000004</v>
      </c>
      <c r="BH18" s="88">
        <f t="shared" ref="BH18" si="76">BG18+TIME(1,0,0)</f>
        <v>2.291666666666667</v>
      </c>
      <c r="BI18" s="88">
        <f t="shared" ref="BI18" si="77">BH18+TIME(1,0,0)</f>
        <v>2.3333333333333335</v>
      </c>
      <c r="BJ18" s="88">
        <f t="shared" ref="BJ18" si="78">BI18+TIME(1,0,0)</f>
        <v>2.375</v>
      </c>
      <c r="BK18" s="88">
        <f t="shared" ref="BK18" si="79">BJ18+TIME(1,0,0)</f>
        <v>2.4166666666666665</v>
      </c>
      <c r="BL18" s="88">
        <f t="shared" ref="BL18" si="80">BK18+TIME(1,0,0)</f>
        <v>2.458333333333333</v>
      </c>
      <c r="BM18" s="88">
        <f t="shared" ref="BM18" si="81">BL18+TIME(1,0,0)</f>
        <v>2.4999999999999996</v>
      </c>
      <c r="BN18" s="88">
        <f t="shared" ref="BN18" si="82">BM18+TIME(1,0,0)</f>
        <v>2.5416666666666661</v>
      </c>
      <c r="BO18" s="88">
        <f t="shared" ref="BO18" si="83">BN18+TIME(1,0,0)</f>
        <v>2.5833333333333326</v>
      </c>
      <c r="BP18" s="88">
        <f t="shared" ref="BP18" si="84">BO18+TIME(1,0,0)</f>
        <v>2.6249999999999991</v>
      </c>
      <c r="BQ18" s="88">
        <f t="shared" ref="BQ18" si="85">BP18+TIME(1,0,0)</f>
        <v>2.6666666666666656</v>
      </c>
      <c r="BR18" s="88">
        <f t="shared" ref="BR18" si="86">BQ18+TIME(1,0,0)</f>
        <v>2.7083333333333321</v>
      </c>
      <c r="BS18" s="88">
        <f t="shared" ref="BS18" si="87">BR18+TIME(1,0,0)</f>
        <v>2.7499999999999987</v>
      </c>
      <c r="BT18" s="88">
        <f t="shared" ref="BT18" si="88">BS18+TIME(1,0,0)</f>
        <v>2.7916666666666652</v>
      </c>
      <c r="BU18" s="88">
        <f t="shared" ref="BU18" si="89">BT18+TIME(1,0,0)</f>
        <v>2.8333333333333317</v>
      </c>
      <c r="BV18" s="88">
        <f t="shared" ref="BV18" si="90">BU18+TIME(1,0,0)</f>
        <v>2.8749999999999982</v>
      </c>
      <c r="BW18" s="88">
        <f t="shared" ref="BW18" si="91">BV18+TIME(1,0,0)</f>
        <v>2.9166666666666647</v>
      </c>
      <c r="BX18" s="88">
        <f t="shared" ref="BX18" si="92">BW18+TIME(1,0,0)</f>
        <v>2.9583333333333313</v>
      </c>
      <c r="BY18" s="88">
        <f t="shared" ref="BY18" si="93">BX18+TIME(1,0,0)</f>
        <v>2.9999999999999978</v>
      </c>
      <c r="BZ18" s="88">
        <f t="shared" ref="BZ18" si="94">BY18+TIME(1,0,0)</f>
        <v>3.0416666666666643</v>
      </c>
      <c r="CA18" s="88">
        <f t="shared" ref="CA18" si="95">BZ18+TIME(1,0,0)</f>
        <v>3.0833333333333308</v>
      </c>
      <c r="CB18" s="88">
        <f t="shared" ref="CB18" si="96">CA18+TIME(1,0,0)</f>
        <v>3.1249999999999973</v>
      </c>
      <c r="CC18" s="88">
        <f t="shared" ref="CC18" si="97">CB18+TIME(1,0,0)</f>
        <v>3.1666666666666639</v>
      </c>
      <c r="CD18" s="88">
        <f t="shared" ref="CD18" si="98">CC18+TIME(1,0,0)</f>
        <v>3.2083333333333304</v>
      </c>
      <c r="CE18" s="88">
        <f t="shared" ref="CE18" si="99">CD18+TIME(1,0,0)</f>
        <v>3.2499999999999969</v>
      </c>
      <c r="CF18" s="88">
        <f t="shared" ref="CF18" si="100">CE18+TIME(1,0,0)</f>
        <v>3.2916666666666634</v>
      </c>
      <c r="CG18" s="88">
        <f t="shared" ref="CG18" si="101">CF18+TIME(1,0,0)</f>
        <v>3.3333333333333299</v>
      </c>
      <c r="CH18" s="88">
        <f t="shared" ref="CH18" si="102">CG18+TIME(1,0,0)</f>
        <v>3.3749999999999964</v>
      </c>
      <c r="CI18" s="88">
        <f t="shared" ref="CI18" si="103">CH18+TIME(1,0,0)</f>
        <v>3.416666666666663</v>
      </c>
      <c r="CJ18" s="88">
        <f t="shared" ref="CJ18" si="104">CI18+TIME(1,0,0)</f>
        <v>3.4583333333333295</v>
      </c>
      <c r="CK18" s="88">
        <f t="shared" ref="CK18" si="105">CJ18+TIME(1,0,0)</f>
        <v>3.499999999999996</v>
      </c>
      <c r="CL18" s="88">
        <f t="shared" ref="CL18" si="106">CK18+TIME(1,0,0)</f>
        <v>3.5416666666666625</v>
      </c>
      <c r="CM18" s="88">
        <f t="shared" ref="CM18" si="107">CL18+TIME(1,0,0)</f>
        <v>3.583333333333329</v>
      </c>
      <c r="CN18" s="88">
        <f t="shared" ref="CN18" si="108">CM18+TIME(1,0,0)</f>
        <v>3.6249999999999956</v>
      </c>
      <c r="CO18" s="88">
        <f t="shared" ref="CO18" si="109">CN18+TIME(1,0,0)</f>
        <v>3.6666666666666621</v>
      </c>
      <c r="CP18" s="88">
        <f t="shared" ref="CP18" si="110">CO18+TIME(1,0,0)</f>
        <v>3.7083333333333286</v>
      </c>
      <c r="CQ18" s="88">
        <f t="shared" ref="CQ18" si="111">CP18+TIME(1,0,0)</f>
        <v>3.7499999999999951</v>
      </c>
      <c r="CR18" s="88">
        <f t="shared" ref="CR18" si="112">CQ18+TIME(1,0,0)</f>
        <v>3.7916666666666616</v>
      </c>
      <c r="CS18" s="88">
        <f t="shared" ref="CS18" si="113">CR18+TIME(1,0,0)</f>
        <v>3.8333333333333282</v>
      </c>
      <c r="CT18" s="88">
        <f t="shared" ref="CT18" si="114">CS18+TIME(1,0,0)</f>
        <v>3.8749999999999947</v>
      </c>
      <c r="CU18" s="88">
        <f t="shared" ref="CU18" si="115">CT18+TIME(1,0,0)</f>
        <v>3.9166666666666612</v>
      </c>
      <c r="CV18" s="88">
        <f t="shared" ref="CV18" si="116">CU18+TIME(1,0,0)</f>
        <v>3.9583333333333277</v>
      </c>
      <c r="CW18" s="88">
        <f t="shared" ref="CW18" si="117">CV18+TIME(1,0,0)</f>
        <v>3.9999999999999942</v>
      </c>
      <c r="CX18" s="88">
        <f t="shared" ref="CX18" si="118">CW18+TIME(1,0,0)</f>
        <v>4.0416666666666607</v>
      </c>
      <c r="CY18" s="88">
        <f t="shared" ref="CY18" si="119">CX18+TIME(1,0,0)</f>
        <v>4.0833333333333277</v>
      </c>
      <c r="CZ18" s="88">
        <f t="shared" ref="CZ18" si="120">CY18+TIME(1,0,0)</f>
        <v>4.1249999999999947</v>
      </c>
      <c r="DA18" s="88">
        <f t="shared" ref="DA18" si="121">CZ18+TIME(1,0,0)</f>
        <v>4.1666666666666616</v>
      </c>
      <c r="DB18" s="88">
        <f t="shared" ref="DB18" si="122">DA18+TIME(1,0,0)</f>
        <v>4.2083333333333286</v>
      </c>
      <c r="DC18" s="88">
        <f t="shared" ref="DC18" si="123">DB18+TIME(1,0,0)</f>
        <v>4.2499999999999956</v>
      </c>
      <c r="DD18" s="88">
        <f t="shared" ref="DD18" si="124">DC18+TIME(1,0,0)</f>
        <v>4.2916666666666625</v>
      </c>
      <c r="DE18" s="88">
        <f t="shared" ref="DE18" si="125">DD18+TIME(1,0,0)</f>
        <v>4.3333333333333295</v>
      </c>
      <c r="DF18" s="88">
        <f t="shared" ref="DF18" si="126">DE18+TIME(1,0,0)</f>
        <v>4.3749999999999964</v>
      </c>
      <c r="DG18" s="88">
        <f t="shared" ref="DG18" si="127">DF18+TIME(1,0,0)</f>
        <v>4.4166666666666634</v>
      </c>
      <c r="DH18" s="88">
        <f t="shared" ref="DH18" si="128">DG18+TIME(1,0,0)</f>
        <v>4.4583333333333304</v>
      </c>
      <c r="DI18" s="88">
        <f t="shared" ref="DI18" si="129">DH18+TIME(1,0,0)</f>
        <v>4.4999999999999973</v>
      </c>
      <c r="DJ18" s="88">
        <f t="shared" ref="DJ18" si="130">DI18+TIME(1,0,0)</f>
        <v>4.5416666666666643</v>
      </c>
      <c r="DK18" s="88">
        <f t="shared" ref="DK18" si="131">DJ18+TIME(1,0,0)</f>
        <v>4.5833333333333313</v>
      </c>
      <c r="DL18" s="88">
        <f t="shared" ref="DL18" si="132">DK18+TIME(1,0,0)</f>
        <v>4.6249999999999982</v>
      </c>
      <c r="DM18" s="88">
        <f t="shared" ref="DM18" si="133">DL18+TIME(1,0,0)</f>
        <v>4.6666666666666652</v>
      </c>
      <c r="DN18" s="88">
        <f t="shared" ref="DN18" si="134">DM18+TIME(1,0,0)</f>
        <v>4.7083333333333321</v>
      </c>
      <c r="DO18" s="88">
        <f t="shared" ref="DO18" si="135">DN18+TIME(1,0,0)</f>
        <v>4.7499999999999991</v>
      </c>
      <c r="DP18" s="88">
        <f t="shared" ref="DP18" si="136">DO18+TIME(1,0,0)</f>
        <v>4.7916666666666661</v>
      </c>
      <c r="DQ18" s="88">
        <f t="shared" ref="DQ18" si="137">DP18+TIME(1,0,0)</f>
        <v>4.833333333333333</v>
      </c>
      <c r="DR18" s="88">
        <f t="shared" ref="DR18" si="138">DQ18+TIME(1,0,0)</f>
        <v>4.875</v>
      </c>
      <c r="DS18" s="88">
        <f t="shared" ref="DS18" si="139">DR18+TIME(1,0,0)</f>
        <v>4.916666666666667</v>
      </c>
      <c r="DT18" s="88">
        <f t="shared" ref="DT18" si="140">DS18+TIME(1,0,0)</f>
        <v>4.9583333333333339</v>
      </c>
      <c r="DU18" s="88">
        <f t="shared" ref="DU18" si="141">DT18+TIME(1,0,0)</f>
        <v>5.0000000000000009</v>
      </c>
      <c r="DV18" s="88">
        <f t="shared" ref="DV18" si="142">DU18+TIME(1,0,0)</f>
        <v>5.0416666666666679</v>
      </c>
      <c r="DW18" s="88">
        <f t="shared" ref="DW18" si="143">DV18+TIME(1,0,0)</f>
        <v>5.0833333333333348</v>
      </c>
      <c r="DX18" s="88">
        <f t="shared" ref="DX18" si="144">DW18+TIME(1,0,0)</f>
        <v>5.1250000000000018</v>
      </c>
      <c r="DY18" s="88">
        <f t="shared" ref="DY18" si="145">DX18+TIME(1,0,0)</f>
        <v>5.1666666666666687</v>
      </c>
      <c r="DZ18" s="88">
        <f t="shared" ref="DZ18" si="146">DY18+TIME(1,0,0)</f>
        <v>5.2083333333333357</v>
      </c>
      <c r="EA18" s="88">
        <f t="shared" ref="EA18" si="147">DZ18+TIME(1,0,0)</f>
        <v>5.2500000000000027</v>
      </c>
      <c r="EB18" s="88">
        <f t="shared" ref="EB18" si="148">EA18+TIME(1,0,0)</f>
        <v>5.2916666666666696</v>
      </c>
      <c r="EC18" s="88">
        <f t="shared" ref="EC18" si="149">EB18+TIME(1,0,0)</f>
        <v>5.3333333333333366</v>
      </c>
      <c r="ED18" s="88">
        <f t="shared" ref="ED18" si="150">EC18+TIME(1,0,0)</f>
        <v>5.3750000000000036</v>
      </c>
      <c r="EE18" s="88">
        <f t="shared" ref="EE18" si="151">ED18+TIME(1,0,0)</f>
        <v>5.4166666666666705</v>
      </c>
      <c r="EF18" s="88">
        <f t="shared" ref="EF18" si="152">EE18+TIME(1,0,0)</f>
        <v>5.4583333333333375</v>
      </c>
      <c r="EG18" s="88">
        <f t="shared" ref="EG18" si="153">EF18+TIME(1,0,0)</f>
        <v>5.5000000000000044</v>
      </c>
      <c r="EH18" s="88">
        <f t="shared" ref="EH18" si="154">EG18+TIME(1,0,0)</f>
        <v>5.5416666666666714</v>
      </c>
      <c r="EI18" s="88">
        <f t="shared" ref="EI18" si="155">EH18+TIME(1,0,0)</f>
        <v>5.5833333333333384</v>
      </c>
      <c r="EJ18" s="88">
        <f t="shared" ref="EJ18" si="156">EI18+TIME(1,0,0)</f>
        <v>5.6250000000000053</v>
      </c>
      <c r="EK18" s="88">
        <f t="shared" ref="EK18" si="157">EJ18+TIME(1,0,0)</f>
        <v>5.6666666666666723</v>
      </c>
      <c r="EL18" s="88">
        <f t="shared" ref="EL18" si="158">EK18+TIME(1,0,0)</f>
        <v>5.7083333333333393</v>
      </c>
      <c r="EM18" s="88">
        <f t="shared" ref="EM18" si="159">EL18+TIME(1,0,0)</f>
        <v>5.7500000000000062</v>
      </c>
      <c r="EN18" s="88">
        <f t="shared" ref="EN18" si="160">EM18+TIME(1,0,0)</f>
        <v>5.7916666666666732</v>
      </c>
      <c r="EO18" s="88">
        <f t="shared" ref="EO18" si="161">EN18+TIME(1,0,0)</f>
        <v>5.8333333333333401</v>
      </c>
      <c r="EP18" s="88">
        <f t="shared" ref="EP18" si="162">EO18+TIME(1,0,0)</f>
        <v>5.8750000000000071</v>
      </c>
      <c r="EQ18" s="88">
        <f t="shared" ref="EQ18" si="163">EP18+TIME(1,0,0)</f>
        <v>5.9166666666666741</v>
      </c>
      <c r="ER18" s="88">
        <f t="shared" ref="ER18" si="164">EQ18+TIME(1,0,0)</f>
        <v>5.958333333333341</v>
      </c>
      <c r="ES18" s="88">
        <f t="shared" ref="ES18" si="165">ER18+TIME(1,0,0)</f>
        <v>6.000000000000008</v>
      </c>
      <c r="ET18" s="88">
        <f t="shared" ref="ET18" si="166">ES18+TIME(1,0,0)</f>
        <v>6.041666666666675</v>
      </c>
      <c r="EU18" s="88">
        <f t="shared" ref="EU18" si="167">ET18+TIME(1,0,0)</f>
        <v>6.0833333333333419</v>
      </c>
      <c r="EV18" s="88">
        <f t="shared" ref="EV18" si="168">EU18+TIME(1,0,0)</f>
        <v>6.1250000000000089</v>
      </c>
      <c r="EW18" s="88">
        <f t="shared" ref="EW18" si="169">EV18+TIME(1,0,0)</f>
        <v>6.1666666666666758</v>
      </c>
      <c r="EX18" s="88">
        <f t="shared" ref="EX18" si="170">EW18+TIME(1,0,0)</f>
        <v>6.2083333333333428</v>
      </c>
      <c r="EY18" s="88">
        <f t="shared" ref="EY18" si="171">EX18+TIME(1,0,0)</f>
        <v>6.2500000000000098</v>
      </c>
      <c r="EZ18" s="88">
        <f t="shared" ref="EZ18" si="172">EY18+TIME(1,0,0)</f>
        <v>6.2916666666666767</v>
      </c>
      <c r="FA18" s="88">
        <f t="shared" ref="FA18" si="173">EZ18+TIME(1,0,0)</f>
        <v>6.3333333333333437</v>
      </c>
      <c r="FB18" s="88">
        <f t="shared" ref="FB18" si="174">FA18+TIME(1,0,0)</f>
        <v>6.3750000000000107</v>
      </c>
      <c r="FC18" s="88">
        <f t="shared" ref="FC18" si="175">FB18+TIME(1,0,0)</f>
        <v>6.4166666666666776</v>
      </c>
      <c r="FD18" s="88">
        <f t="shared" ref="FD18" si="176">FC18+TIME(1,0,0)</f>
        <v>6.4583333333333446</v>
      </c>
      <c r="FE18" s="88">
        <f t="shared" ref="FE18" si="177">FD18+TIME(1,0,0)</f>
        <v>6.5000000000000115</v>
      </c>
      <c r="FF18" s="88">
        <f t="shared" ref="FF18" si="178">FE18+TIME(1,0,0)</f>
        <v>6.5416666666666785</v>
      </c>
      <c r="FG18" s="88">
        <f t="shared" ref="FG18" si="179">FF18+TIME(1,0,0)</f>
        <v>6.5833333333333455</v>
      </c>
      <c r="FH18" s="88">
        <f t="shared" ref="FH18" si="180">FG18+TIME(1,0,0)</f>
        <v>6.6250000000000124</v>
      </c>
      <c r="FI18" s="88">
        <f t="shared" ref="FI18" si="181">FH18+TIME(1,0,0)</f>
        <v>6.6666666666666794</v>
      </c>
      <c r="FJ18" s="88">
        <f t="shared" ref="FJ18" si="182">FI18+TIME(1,0,0)</f>
        <v>6.7083333333333464</v>
      </c>
      <c r="FK18" s="88">
        <f t="shared" ref="FK18" si="183">FJ18+TIME(1,0,0)</f>
        <v>6.7500000000000133</v>
      </c>
      <c r="FL18" s="88">
        <f t="shared" ref="FL18" si="184">FK18+TIME(1,0,0)</f>
        <v>6.7916666666666803</v>
      </c>
      <c r="FM18" s="88">
        <f t="shared" ref="FM18" si="185">FL18+TIME(1,0,0)</f>
        <v>6.8333333333333472</v>
      </c>
      <c r="FN18" s="88">
        <f t="shared" ref="FN18" si="186">FM18+TIME(1,0,0)</f>
        <v>6.8750000000000142</v>
      </c>
      <c r="FO18" s="88">
        <f t="shared" ref="FO18" si="187">FN18+TIME(1,0,0)</f>
        <v>6.9166666666666812</v>
      </c>
      <c r="FP18" s="88">
        <f t="shared" ref="FP18" si="188">FO18+TIME(1,0,0)</f>
        <v>6.9583333333333481</v>
      </c>
      <c r="FQ18" s="88">
        <f t="shared" ref="FQ18" si="189">FP18+TIME(1,0,0)</f>
        <v>7.0000000000000151</v>
      </c>
      <c r="FR18" s="88">
        <f t="shared" ref="FR18" si="190">FQ18+TIME(1,0,0)</f>
        <v>7.0416666666666821</v>
      </c>
      <c r="FS18" s="88">
        <f t="shared" ref="FS18" si="191">FR18+TIME(1,0,0)</f>
        <v>7.083333333333349</v>
      </c>
      <c r="FT18" s="88">
        <f t="shared" ref="FT18" si="192">FS18+TIME(1,0,0)</f>
        <v>7.125000000000016</v>
      </c>
      <c r="FU18" s="88">
        <f t="shared" ref="FU18" si="193">FT18+TIME(1,0,0)</f>
        <v>7.1666666666666829</v>
      </c>
      <c r="FV18" s="88">
        <f t="shared" ref="FV18" si="194">FU18+TIME(1,0,0)</f>
        <v>7.2083333333333499</v>
      </c>
      <c r="FW18" s="88">
        <f t="shared" ref="FW18" si="195">FV18+TIME(1,0,0)</f>
        <v>7.2500000000000169</v>
      </c>
      <c r="FX18" s="88">
        <f t="shared" ref="FX18" si="196">FW18+TIME(1,0,0)</f>
        <v>7.2916666666666838</v>
      </c>
      <c r="FY18" s="88">
        <f t="shared" ref="FY18" si="197">FX18+TIME(1,0,0)</f>
        <v>7.3333333333333508</v>
      </c>
      <c r="FZ18" s="88">
        <f t="shared" ref="FZ18" si="198">FY18+TIME(1,0,0)</f>
        <v>7.3750000000000178</v>
      </c>
      <c r="GA18" s="88">
        <f t="shared" ref="GA18" si="199">FZ18+TIME(1,0,0)</f>
        <v>7.4166666666666847</v>
      </c>
      <c r="GB18" s="88">
        <f t="shared" ref="GB18" si="200">GA18+TIME(1,0,0)</f>
        <v>7.4583333333333517</v>
      </c>
      <c r="GC18" s="88">
        <f t="shared" ref="GC18" si="201">GB18+TIME(1,0,0)</f>
        <v>7.5000000000000187</v>
      </c>
      <c r="GD18" s="88">
        <f t="shared" ref="GD18" si="202">GC18+TIME(1,0,0)</f>
        <v>7.5416666666666856</v>
      </c>
      <c r="GE18" s="88">
        <f t="shared" ref="GE18" si="203">GD18+TIME(1,0,0)</f>
        <v>7.5833333333333526</v>
      </c>
      <c r="GF18" s="88">
        <f t="shared" ref="GF18" si="204">GE18+TIME(1,0,0)</f>
        <v>7.6250000000000195</v>
      </c>
      <c r="GG18" s="88">
        <f t="shared" ref="GG18" si="205">GF18+TIME(1,0,0)</f>
        <v>7.6666666666666865</v>
      </c>
      <c r="GH18" s="88">
        <f t="shared" ref="GH18" si="206">GG18+TIME(1,0,0)</f>
        <v>7.7083333333333535</v>
      </c>
      <c r="GI18" s="88">
        <f t="shared" ref="GI18" si="207">GH18+TIME(1,0,0)</f>
        <v>7.7500000000000204</v>
      </c>
      <c r="GJ18" s="88">
        <f t="shared" ref="GJ18" si="208">GI18+TIME(1,0,0)</f>
        <v>7.7916666666666874</v>
      </c>
      <c r="GK18" s="88">
        <f t="shared" ref="GK18" si="209">GJ18+TIME(1,0,0)</f>
        <v>7.8333333333333544</v>
      </c>
      <c r="GL18" s="88">
        <f t="shared" ref="GL18" si="210">GK18+TIME(1,0,0)</f>
        <v>7.8750000000000213</v>
      </c>
      <c r="GM18" s="88">
        <f t="shared" ref="GM18" si="211">GL18+TIME(1,0,0)</f>
        <v>7.9166666666666883</v>
      </c>
      <c r="GN18" s="88">
        <f t="shared" ref="GN18" si="212">GM18+TIME(1,0,0)</f>
        <v>7.9583333333333552</v>
      </c>
      <c r="GO18" s="88">
        <f t="shared" ref="GO18" si="213">GN18+TIME(1,0,0)</f>
        <v>8.0000000000000213</v>
      </c>
      <c r="GP18" s="88">
        <f t="shared" ref="GP18" si="214">GO18+TIME(1,0,0)</f>
        <v>8.0416666666666874</v>
      </c>
      <c r="GQ18" s="88">
        <f t="shared" ref="GQ18" si="215">GP18+TIME(1,0,0)</f>
        <v>8.0833333333333535</v>
      </c>
      <c r="GR18" s="88">
        <f t="shared" ref="GR18" si="216">GQ18+TIME(1,0,0)</f>
        <v>8.1250000000000195</v>
      </c>
      <c r="GS18" s="88">
        <f t="shared" ref="GS18" si="217">GR18+TIME(1,0,0)</f>
        <v>8.1666666666666856</v>
      </c>
      <c r="GT18" s="88">
        <f t="shared" ref="GT18" si="218">GS18+TIME(1,0,0)</f>
        <v>8.2083333333333517</v>
      </c>
      <c r="GU18" s="88">
        <f t="shared" ref="GU18" si="219">GT18+TIME(1,0,0)</f>
        <v>8.2500000000000178</v>
      </c>
      <c r="GV18" s="88">
        <f t="shared" ref="GV18" si="220">GU18+TIME(1,0,0)</f>
        <v>8.2916666666666838</v>
      </c>
      <c r="GW18" s="88">
        <f t="shared" ref="GW18" si="221">GV18+TIME(1,0,0)</f>
        <v>8.3333333333333499</v>
      </c>
      <c r="GX18" s="88">
        <f t="shared" ref="GX18" si="222">GW18+TIME(1,0,0)</f>
        <v>8.375000000000016</v>
      </c>
      <c r="GY18" s="88">
        <f t="shared" ref="GY18" si="223">GX18+TIME(1,0,0)</f>
        <v>8.4166666666666821</v>
      </c>
      <c r="GZ18" s="88">
        <f t="shared" ref="GZ18" si="224">GY18+TIME(1,0,0)</f>
        <v>8.4583333333333481</v>
      </c>
      <c r="HA18" s="88">
        <f t="shared" ref="HA18" si="225">GZ18+TIME(1,0,0)</f>
        <v>8.5000000000000142</v>
      </c>
      <c r="HB18" s="88">
        <f t="shared" ref="HB18" si="226">HA18+TIME(1,0,0)</f>
        <v>8.5416666666666803</v>
      </c>
      <c r="HC18" s="88">
        <f t="shared" ref="HC18" si="227">HB18+TIME(1,0,0)</f>
        <v>8.5833333333333464</v>
      </c>
      <c r="HD18" s="88">
        <f t="shared" ref="HD18" si="228">HC18+TIME(1,0,0)</f>
        <v>8.6250000000000124</v>
      </c>
      <c r="HE18" s="88">
        <f t="shared" ref="HE18" si="229">HD18+TIME(1,0,0)</f>
        <v>8.6666666666666785</v>
      </c>
      <c r="HF18" s="88">
        <f t="shared" ref="HF18" si="230">HE18+TIME(1,0,0)</f>
        <v>8.7083333333333446</v>
      </c>
      <c r="HG18" s="88">
        <f t="shared" ref="HG18" si="231">HF18+TIME(1,0,0)</f>
        <v>8.7500000000000107</v>
      </c>
      <c r="HH18" s="88">
        <f t="shared" ref="HH18" si="232">HG18+TIME(1,0,0)</f>
        <v>8.7916666666666767</v>
      </c>
      <c r="HI18" s="88">
        <f t="shared" ref="HI18" si="233">HH18+TIME(1,0,0)</f>
        <v>8.8333333333333428</v>
      </c>
      <c r="HJ18" s="88">
        <f t="shared" ref="HJ18" si="234">HI18+TIME(1,0,0)</f>
        <v>8.8750000000000089</v>
      </c>
      <c r="HK18" s="88">
        <f t="shared" ref="HK18" si="235">HJ18+TIME(1,0,0)</f>
        <v>8.916666666666675</v>
      </c>
      <c r="HL18" s="88">
        <f t="shared" ref="HL18" si="236">HK18+TIME(1,0,0)</f>
        <v>8.958333333333341</v>
      </c>
      <c r="HM18" s="88">
        <f t="shared" ref="HM18" si="237">HL18+TIME(1,0,0)</f>
        <v>9.0000000000000071</v>
      </c>
      <c r="HN18" s="88">
        <f t="shared" ref="HN18" si="238">HM18+TIME(1,0,0)</f>
        <v>9.0416666666666732</v>
      </c>
      <c r="HO18" s="88">
        <f t="shared" ref="HO18" si="239">HN18+TIME(1,0,0)</f>
        <v>9.0833333333333393</v>
      </c>
      <c r="HP18" s="88">
        <f t="shared" ref="HP18" si="240">HO18+TIME(1,0,0)</f>
        <v>9.1250000000000053</v>
      </c>
      <c r="HQ18" s="88">
        <f t="shared" ref="HQ18" si="241">HP18+TIME(1,0,0)</f>
        <v>9.1666666666666714</v>
      </c>
      <c r="HR18" s="88">
        <f t="shared" ref="HR18" si="242">HQ18+TIME(1,0,0)</f>
        <v>9.2083333333333375</v>
      </c>
      <c r="HS18" s="88">
        <f t="shared" ref="HS18" si="243">HR18+TIME(1,0,0)</f>
        <v>9.2500000000000036</v>
      </c>
      <c r="HT18" s="88">
        <f t="shared" ref="HT18" si="244">HS18+TIME(1,0,0)</f>
        <v>9.2916666666666696</v>
      </c>
      <c r="HU18" s="88">
        <f t="shared" ref="HU18" si="245">HT18+TIME(1,0,0)</f>
        <v>9.3333333333333357</v>
      </c>
      <c r="HV18" s="88">
        <f t="shared" ref="HV18" si="246">HU18+TIME(1,0,0)</f>
        <v>9.3750000000000018</v>
      </c>
      <c r="HW18" s="88">
        <f t="shared" ref="HW18" si="247">HV18+TIME(1,0,0)</f>
        <v>9.4166666666666679</v>
      </c>
      <c r="HX18" s="88">
        <f t="shared" ref="HX18" si="248">HW18+TIME(1,0,0)</f>
        <v>9.4583333333333339</v>
      </c>
    </row>
    <row r="19" spans="1:232" x14ac:dyDescent="0.2">
      <c r="B19" s="80" t="s">
        <v>65</v>
      </c>
      <c r="C19" s="80" t="s">
        <v>131</v>
      </c>
      <c r="D19" s="81">
        <v>5.2</v>
      </c>
      <c r="E19" s="80" t="s">
        <v>127</v>
      </c>
      <c r="F19" s="80" t="s">
        <v>124</v>
      </c>
      <c r="G19" s="84">
        <v>1</v>
      </c>
      <c r="H19" s="85">
        <v>1</v>
      </c>
      <c r="I19" s="85">
        <v>1</v>
      </c>
      <c r="J19" s="85">
        <v>1</v>
      </c>
      <c r="K19" s="85">
        <v>1</v>
      </c>
      <c r="L19" s="85">
        <v>1</v>
      </c>
      <c r="M19" s="85">
        <v>1</v>
      </c>
      <c r="N19" s="85">
        <v>1</v>
      </c>
      <c r="O19" s="85">
        <v>1</v>
      </c>
      <c r="P19" s="85">
        <v>1</v>
      </c>
      <c r="Q19" s="85">
        <v>1</v>
      </c>
      <c r="R19" s="85">
        <v>1</v>
      </c>
      <c r="S19" s="85">
        <v>1</v>
      </c>
      <c r="T19" s="85">
        <v>1</v>
      </c>
      <c r="U19" s="85">
        <v>1</v>
      </c>
      <c r="V19" s="85">
        <v>1</v>
      </c>
      <c r="W19" s="85">
        <v>1</v>
      </c>
      <c r="X19" s="85">
        <v>1</v>
      </c>
      <c r="Y19" s="85">
        <v>1</v>
      </c>
      <c r="Z19" s="85">
        <v>1</v>
      </c>
      <c r="AA19" s="85">
        <v>1</v>
      </c>
      <c r="AB19" s="85">
        <v>1</v>
      </c>
      <c r="AC19" s="85">
        <v>1</v>
      </c>
      <c r="AD19" s="85">
        <v>1</v>
      </c>
      <c r="AE19" s="84">
        <v>1</v>
      </c>
      <c r="AF19" s="85">
        <v>1</v>
      </c>
      <c r="AG19" s="85">
        <v>1</v>
      </c>
      <c r="AH19" s="85">
        <v>1</v>
      </c>
      <c r="AI19" s="85">
        <v>1</v>
      </c>
      <c r="AJ19" s="85">
        <v>1</v>
      </c>
      <c r="AK19" s="85">
        <v>1</v>
      </c>
      <c r="AL19" s="85">
        <v>1</v>
      </c>
      <c r="AM19" s="85">
        <v>1</v>
      </c>
      <c r="AN19" s="85">
        <v>1</v>
      </c>
      <c r="AO19" s="85">
        <v>1</v>
      </c>
      <c r="AP19" s="85">
        <v>1</v>
      </c>
      <c r="AQ19" s="85">
        <v>1</v>
      </c>
      <c r="AR19" s="85">
        <v>1</v>
      </c>
      <c r="AS19" s="85">
        <v>1</v>
      </c>
      <c r="AT19" s="85">
        <v>1</v>
      </c>
      <c r="AU19" s="85">
        <v>1</v>
      </c>
      <c r="AV19" s="85">
        <v>1</v>
      </c>
      <c r="AW19" s="85">
        <v>1</v>
      </c>
      <c r="AX19" s="85">
        <v>1</v>
      </c>
      <c r="AY19" s="85">
        <v>1</v>
      </c>
      <c r="AZ19" s="85">
        <v>1</v>
      </c>
      <c r="BA19" s="85">
        <v>1</v>
      </c>
      <c r="BB19" s="85">
        <v>1</v>
      </c>
      <c r="BC19" s="84">
        <v>1</v>
      </c>
      <c r="BD19" s="85">
        <v>1</v>
      </c>
      <c r="BE19" s="85">
        <v>1</v>
      </c>
      <c r="BF19" s="85">
        <v>1</v>
      </c>
      <c r="BG19" s="85">
        <v>1</v>
      </c>
      <c r="BH19" s="85">
        <v>1</v>
      </c>
      <c r="BI19" s="85">
        <v>1</v>
      </c>
      <c r="BJ19" s="85">
        <v>1</v>
      </c>
      <c r="BK19" s="85">
        <v>1</v>
      </c>
      <c r="BL19" s="85">
        <v>1</v>
      </c>
      <c r="BM19" s="85">
        <v>1</v>
      </c>
      <c r="BN19" s="85">
        <v>1</v>
      </c>
      <c r="BO19" s="85">
        <v>1</v>
      </c>
      <c r="BP19" s="85">
        <v>1</v>
      </c>
      <c r="BQ19" s="85">
        <v>1</v>
      </c>
      <c r="BR19" s="85">
        <v>1</v>
      </c>
      <c r="BS19" s="85">
        <v>1</v>
      </c>
      <c r="BT19" s="85">
        <v>1</v>
      </c>
      <c r="BU19" s="85">
        <v>1</v>
      </c>
      <c r="BV19" s="85">
        <v>1</v>
      </c>
      <c r="BW19" s="85">
        <v>1</v>
      </c>
      <c r="BX19" s="85">
        <v>1</v>
      </c>
      <c r="BY19" s="85">
        <v>1</v>
      </c>
      <c r="BZ19" s="85">
        <v>1</v>
      </c>
      <c r="CA19" s="84">
        <v>1</v>
      </c>
      <c r="CB19" s="85">
        <v>1</v>
      </c>
      <c r="CC19" s="85">
        <v>1</v>
      </c>
      <c r="CD19" s="85">
        <v>1</v>
      </c>
      <c r="CE19" s="85">
        <v>1</v>
      </c>
      <c r="CF19" s="85">
        <v>1</v>
      </c>
      <c r="CG19" s="85">
        <v>1</v>
      </c>
      <c r="CH19" s="85">
        <v>1</v>
      </c>
      <c r="CI19" s="85">
        <v>1</v>
      </c>
      <c r="CJ19" s="85">
        <v>1</v>
      </c>
      <c r="CK19" s="85">
        <v>1</v>
      </c>
      <c r="CL19" s="85">
        <v>1</v>
      </c>
      <c r="CM19" s="85">
        <v>1</v>
      </c>
      <c r="CN19" s="85">
        <v>1</v>
      </c>
      <c r="CO19" s="85">
        <v>1</v>
      </c>
      <c r="CP19" s="85">
        <v>1</v>
      </c>
      <c r="CQ19" s="85">
        <v>1</v>
      </c>
      <c r="CR19" s="85">
        <v>1</v>
      </c>
      <c r="CS19" s="85">
        <v>1</v>
      </c>
      <c r="CT19" s="85">
        <v>1</v>
      </c>
      <c r="CU19" s="85">
        <v>1</v>
      </c>
      <c r="CV19" s="85">
        <v>1</v>
      </c>
      <c r="CW19" s="85">
        <v>1</v>
      </c>
      <c r="CX19" s="85">
        <v>1</v>
      </c>
      <c r="CY19" s="84">
        <v>1</v>
      </c>
      <c r="CZ19" s="85">
        <v>1</v>
      </c>
      <c r="DA19" s="85">
        <v>1</v>
      </c>
      <c r="DB19" s="85">
        <v>1</v>
      </c>
      <c r="DC19" s="85">
        <v>1</v>
      </c>
      <c r="DD19" s="85">
        <v>1</v>
      </c>
      <c r="DE19" s="85">
        <v>1</v>
      </c>
      <c r="DF19" s="85">
        <v>1</v>
      </c>
      <c r="DG19" s="85">
        <v>1</v>
      </c>
      <c r="DH19" s="85">
        <v>1</v>
      </c>
      <c r="DI19" s="85">
        <v>1</v>
      </c>
      <c r="DJ19" s="85">
        <v>1</v>
      </c>
      <c r="DK19" s="85">
        <v>1</v>
      </c>
      <c r="DL19" s="85">
        <v>1</v>
      </c>
      <c r="DM19" s="85">
        <v>1</v>
      </c>
      <c r="DN19" s="85">
        <v>1</v>
      </c>
      <c r="DO19" s="85">
        <v>1</v>
      </c>
      <c r="DP19" s="85">
        <v>1</v>
      </c>
      <c r="DQ19" s="85">
        <v>1</v>
      </c>
      <c r="DR19" s="85">
        <v>1</v>
      </c>
      <c r="DS19" s="85">
        <v>1</v>
      </c>
      <c r="DT19" s="85">
        <v>1</v>
      </c>
      <c r="DU19" s="85">
        <v>1</v>
      </c>
      <c r="DV19" s="85">
        <v>1</v>
      </c>
      <c r="DW19" s="84">
        <v>1</v>
      </c>
      <c r="DX19" s="85">
        <v>1</v>
      </c>
      <c r="DY19" s="85">
        <v>1</v>
      </c>
      <c r="DZ19" s="85">
        <v>1</v>
      </c>
      <c r="EA19" s="85">
        <v>1</v>
      </c>
      <c r="EB19" s="85">
        <v>1</v>
      </c>
      <c r="EC19" s="85">
        <v>1</v>
      </c>
      <c r="ED19" s="85">
        <v>1</v>
      </c>
      <c r="EE19" s="85">
        <v>1</v>
      </c>
      <c r="EF19" s="85">
        <v>1</v>
      </c>
      <c r="EG19" s="85">
        <v>1</v>
      </c>
      <c r="EH19" s="85">
        <v>1</v>
      </c>
      <c r="EI19" s="85">
        <v>1</v>
      </c>
      <c r="EJ19" s="85">
        <v>1</v>
      </c>
      <c r="EK19" s="85">
        <v>1</v>
      </c>
      <c r="EL19" s="85">
        <v>1</v>
      </c>
      <c r="EM19" s="85">
        <v>1</v>
      </c>
      <c r="EN19" s="85">
        <v>1</v>
      </c>
      <c r="EO19" s="85">
        <v>1</v>
      </c>
      <c r="EP19" s="85">
        <v>1</v>
      </c>
      <c r="EQ19" s="85">
        <v>1</v>
      </c>
      <c r="ER19" s="85">
        <v>1</v>
      </c>
      <c r="ES19" s="85">
        <v>1</v>
      </c>
      <c r="ET19" s="85">
        <v>1</v>
      </c>
      <c r="EU19" s="84">
        <v>1</v>
      </c>
      <c r="EV19" s="85">
        <v>1</v>
      </c>
      <c r="EW19" s="85">
        <v>1</v>
      </c>
      <c r="EX19" s="85">
        <v>1</v>
      </c>
      <c r="EY19" s="85">
        <v>1</v>
      </c>
      <c r="EZ19" s="85">
        <v>1</v>
      </c>
      <c r="FA19" s="85">
        <v>1</v>
      </c>
      <c r="FB19" s="85">
        <v>1</v>
      </c>
      <c r="FC19" s="85">
        <v>1</v>
      </c>
      <c r="FD19" s="85">
        <v>1</v>
      </c>
      <c r="FE19" s="85">
        <v>1</v>
      </c>
      <c r="FF19" s="85">
        <v>1</v>
      </c>
      <c r="FG19" s="85">
        <v>1</v>
      </c>
      <c r="FH19" s="85">
        <v>1</v>
      </c>
      <c r="FI19" s="85">
        <v>1</v>
      </c>
      <c r="FJ19" s="85">
        <v>1</v>
      </c>
      <c r="FK19" s="85">
        <v>1</v>
      </c>
      <c r="FL19" s="85">
        <v>1</v>
      </c>
      <c r="FM19" s="85">
        <v>1</v>
      </c>
      <c r="FN19" s="85">
        <v>1</v>
      </c>
      <c r="FO19" s="85">
        <v>1</v>
      </c>
      <c r="FP19" s="85">
        <v>1</v>
      </c>
      <c r="FQ19" s="85">
        <v>1</v>
      </c>
      <c r="FR19" s="85">
        <v>1</v>
      </c>
      <c r="FS19" s="84">
        <v>1</v>
      </c>
      <c r="FT19" s="85">
        <v>1</v>
      </c>
      <c r="FU19" s="85">
        <v>1</v>
      </c>
      <c r="FV19" s="85">
        <v>1</v>
      </c>
      <c r="FW19" s="85">
        <v>1</v>
      </c>
      <c r="FX19" s="85">
        <v>1</v>
      </c>
      <c r="FY19" s="85">
        <v>1</v>
      </c>
      <c r="FZ19" s="85">
        <v>1</v>
      </c>
      <c r="GA19" s="85">
        <v>1</v>
      </c>
      <c r="GB19" s="85">
        <v>1</v>
      </c>
      <c r="GC19" s="85">
        <v>1</v>
      </c>
      <c r="GD19" s="85">
        <v>1</v>
      </c>
      <c r="GE19" s="85">
        <v>1</v>
      </c>
      <c r="GF19" s="85">
        <v>1</v>
      </c>
      <c r="GG19" s="85">
        <v>1</v>
      </c>
      <c r="GH19" s="85">
        <v>1</v>
      </c>
      <c r="GI19" s="85">
        <v>1</v>
      </c>
      <c r="GJ19" s="85">
        <v>1</v>
      </c>
      <c r="GK19" s="85">
        <v>1</v>
      </c>
      <c r="GL19" s="85">
        <v>1</v>
      </c>
      <c r="GM19" s="85">
        <v>1</v>
      </c>
      <c r="GN19" s="85">
        <v>1</v>
      </c>
      <c r="GO19" s="85">
        <v>1</v>
      </c>
      <c r="GP19" s="85">
        <v>1</v>
      </c>
      <c r="GQ19" s="84">
        <v>1</v>
      </c>
      <c r="GR19" s="85">
        <v>1</v>
      </c>
      <c r="GS19" s="85">
        <v>1</v>
      </c>
      <c r="GT19" s="85">
        <v>1</v>
      </c>
      <c r="GU19" s="85">
        <v>1</v>
      </c>
      <c r="GV19" s="85">
        <v>1</v>
      </c>
      <c r="GW19" s="85">
        <v>1</v>
      </c>
      <c r="GX19" s="85">
        <v>1</v>
      </c>
      <c r="GY19" s="85">
        <v>1</v>
      </c>
      <c r="GZ19" s="85">
        <v>1</v>
      </c>
      <c r="HA19" s="85">
        <v>1</v>
      </c>
      <c r="HB19" s="85">
        <v>1</v>
      </c>
      <c r="HC19" s="85">
        <v>1</v>
      </c>
      <c r="HD19" s="85">
        <v>1</v>
      </c>
      <c r="HE19" s="85">
        <v>1</v>
      </c>
      <c r="HF19" s="85">
        <v>1</v>
      </c>
      <c r="HG19" s="85">
        <v>1</v>
      </c>
      <c r="HH19" s="85">
        <v>1</v>
      </c>
      <c r="HI19" s="85">
        <v>1</v>
      </c>
      <c r="HJ19" s="85">
        <v>1</v>
      </c>
      <c r="HK19" s="85">
        <v>1</v>
      </c>
      <c r="HL19" s="85">
        <v>1</v>
      </c>
      <c r="HM19" s="85">
        <v>1</v>
      </c>
      <c r="HN19" s="85">
        <v>1</v>
      </c>
      <c r="HO19" s="85">
        <v>1</v>
      </c>
      <c r="HP19" s="85">
        <v>1</v>
      </c>
      <c r="HQ19" s="85">
        <v>1</v>
      </c>
      <c r="HR19" s="85">
        <v>1</v>
      </c>
      <c r="HS19" s="85">
        <v>1</v>
      </c>
      <c r="HT19" s="85">
        <v>1</v>
      </c>
      <c r="HU19" s="85">
        <v>1</v>
      </c>
      <c r="HV19" s="85">
        <v>1</v>
      </c>
      <c r="HW19" s="85">
        <v>1</v>
      </c>
      <c r="HX19" s="86">
        <v>1</v>
      </c>
    </row>
    <row r="20" spans="1:232" x14ac:dyDescent="0.2">
      <c r="B20" s="80" t="s">
        <v>66</v>
      </c>
      <c r="C20" s="80" t="s">
        <v>131</v>
      </c>
      <c r="D20" s="81">
        <v>5.2</v>
      </c>
      <c r="E20" s="80" t="s">
        <v>127</v>
      </c>
      <c r="F20" s="80" t="s">
        <v>124</v>
      </c>
      <c r="G20" s="78">
        <v>1</v>
      </c>
      <c r="H20" s="74">
        <v>1</v>
      </c>
      <c r="I20" s="74">
        <v>1</v>
      </c>
      <c r="J20" s="74">
        <v>1</v>
      </c>
      <c r="K20" s="74">
        <v>1</v>
      </c>
      <c r="L20" s="74">
        <v>1</v>
      </c>
      <c r="M20" s="74">
        <v>1</v>
      </c>
      <c r="N20" s="74">
        <v>1</v>
      </c>
      <c r="O20" s="74">
        <v>1</v>
      </c>
      <c r="P20" s="74">
        <v>1</v>
      </c>
      <c r="Q20" s="74">
        <v>1</v>
      </c>
      <c r="R20" s="74">
        <v>1</v>
      </c>
      <c r="S20" s="74">
        <v>1</v>
      </c>
      <c r="T20" s="74">
        <v>1</v>
      </c>
      <c r="U20" s="74">
        <v>1</v>
      </c>
      <c r="V20" s="74">
        <v>1</v>
      </c>
      <c r="W20" s="74">
        <v>1</v>
      </c>
      <c r="X20" s="74">
        <v>1</v>
      </c>
      <c r="Y20" s="74">
        <v>1</v>
      </c>
      <c r="Z20" s="74">
        <v>1</v>
      </c>
      <c r="AA20" s="74">
        <v>1</v>
      </c>
      <c r="AB20" s="74">
        <v>1</v>
      </c>
      <c r="AC20" s="74">
        <v>1</v>
      </c>
      <c r="AD20" s="74">
        <v>1</v>
      </c>
      <c r="AE20" s="78">
        <v>1</v>
      </c>
      <c r="AF20" s="74">
        <v>1</v>
      </c>
      <c r="AG20" s="74">
        <v>1</v>
      </c>
      <c r="AH20" s="74">
        <v>1</v>
      </c>
      <c r="AI20" s="74">
        <v>1</v>
      </c>
      <c r="AJ20" s="74">
        <v>1</v>
      </c>
      <c r="AK20" s="74">
        <v>1</v>
      </c>
      <c r="AL20" s="74">
        <v>1</v>
      </c>
      <c r="AM20" s="74">
        <v>1</v>
      </c>
      <c r="AN20" s="74">
        <v>1</v>
      </c>
      <c r="AO20" s="74">
        <v>1</v>
      </c>
      <c r="AP20" s="74">
        <v>1</v>
      </c>
      <c r="AQ20" s="74">
        <v>1</v>
      </c>
      <c r="AR20" s="74">
        <v>1</v>
      </c>
      <c r="AS20" s="74">
        <v>1</v>
      </c>
      <c r="AT20" s="74">
        <v>1</v>
      </c>
      <c r="AU20" s="74">
        <v>1</v>
      </c>
      <c r="AV20" s="74">
        <v>1</v>
      </c>
      <c r="AW20" s="74">
        <v>1</v>
      </c>
      <c r="AX20" s="74">
        <v>1</v>
      </c>
      <c r="AY20" s="74">
        <v>1</v>
      </c>
      <c r="AZ20" s="74">
        <v>1</v>
      </c>
      <c r="BA20" s="74">
        <v>1</v>
      </c>
      <c r="BB20" s="74">
        <v>1</v>
      </c>
      <c r="BC20" s="78">
        <v>1</v>
      </c>
      <c r="BD20" s="74">
        <v>1</v>
      </c>
      <c r="BE20" s="74">
        <v>1</v>
      </c>
      <c r="BF20" s="74">
        <v>1</v>
      </c>
      <c r="BG20" s="74">
        <v>1</v>
      </c>
      <c r="BH20" s="74">
        <v>1</v>
      </c>
      <c r="BI20" s="74">
        <v>1</v>
      </c>
      <c r="BJ20" s="74">
        <v>1</v>
      </c>
      <c r="BK20" s="74">
        <v>1</v>
      </c>
      <c r="BL20" s="74">
        <v>1</v>
      </c>
      <c r="BM20" s="74">
        <v>1</v>
      </c>
      <c r="BN20" s="74">
        <v>1</v>
      </c>
      <c r="BO20" s="74">
        <v>1</v>
      </c>
      <c r="BP20" s="74">
        <v>1</v>
      </c>
      <c r="BQ20" s="74">
        <v>1</v>
      </c>
      <c r="BR20" s="74">
        <v>1</v>
      </c>
      <c r="BS20" s="74">
        <v>1</v>
      </c>
      <c r="BT20" s="74">
        <v>1</v>
      </c>
      <c r="BU20" s="74">
        <v>1</v>
      </c>
      <c r="BV20" s="74">
        <v>1</v>
      </c>
      <c r="BW20" s="74">
        <v>1</v>
      </c>
      <c r="BX20" s="74">
        <v>1</v>
      </c>
      <c r="BY20" s="74">
        <v>1</v>
      </c>
      <c r="BZ20" s="74">
        <v>1</v>
      </c>
      <c r="CA20" s="78">
        <v>1</v>
      </c>
      <c r="CB20" s="74">
        <v>1</v>
      </c>
      <c r="CC20" s="74">
        <v>1</v>
      </c>
      <c r="CD20" s="74">
        <v>1</v>
      </c>
      <c r="CE20" s="74">
        <v>1</v>
      </c>
      <c r="CF20" s="74">
        <v>1</v>
      </c>
      <c r="CG20" s="74">
        <v>1</v>
      </c>
      <c r="CH20" s="74">
        <v>1</v>
      </c>
      <c r="CI20" s="74">
        <v>1</v>
      </c>
      <c r="CJ20" s="74">
        <v>1</v>
      </c>
      <c r="CK20" s="74">
        <v>1</v>
      </c>
      <c r="CL20" s="74">
        <v>1</v>
      </c>
      <c r="CM20" s="74">
        <v>1</v>
      </c>
      <c r="CN20" s="74">
        <v>1</v>
      </c>
      <c r="CO20" s="74">
        <v>1</v>
      </c>
      <c r="CP20" s="74">
        <v>1</v>
      </c>
      <c r="CQ20" s="74">
        <v>1</v>
      </c>
      <c r="CR20" s="74">
        <v>1</v>
      </c>
      <c r="CS20" s="74">
        <v>1</v>
      </c>
      <c r="CT20" s="74">
        <v>1</v>
      </c>
      <c r="CU20" s="74">
        <v>1</v>
      </c>
      <c r="CV20" s="74">
        <v>1</v>
      </c>
      <c r="CW20" s="74">
        <v>1</v>
      </c>
      <c r="CX20" s="74">
        <v>1</v>
      </c>
      <c r="CY20" s="78">
        <v>1</v>
      </c>
      <c r="CZ20" s="74">
        <v>1</v>
      </c>
      <c r="DA20" s="74">
        <v>1</v>
      </c>
      <c r="DB20" s="74">
        <v>1</v>
      </c>
      <c r="DC20" s="74">
        <v>1</v>
      </c>
      <c r="DD20" s="74">
        <v>1</v>
      </c>
      <c r="DE20" s="74">
        <v>1</v>
      </c>
      <c r="DF20" s="74">
        <v>1</v>
      </c>
      <c r="DG20" s="74">
        <v>1</v>
      </c>
      <c r="DH20" s="74">
        <v>1</v>
      </c>
      <c r="DI20" s="74">
        <v>1</v>
      </c>
      <c r="DJ20" s="74">
        <v>1</v>
      </c>
      <c r="DK20" s="74">
        <v>1</v>
      </c>
      <c r="DL20" s="74">
        <v>1</v>
      </c>
      <c r="DM20" s="74">
        <v>1</v>
      </c>
      <c r="DN20" s="74">
        <v>1</v>
      </c>
      <c r="DO20" s="74">
        <v>1</v>
      </c>
      <c r="DP20" s="74">
        <v>1</v>
      </c>
      <c r="DQ20" s="74">
        <v>1</v>
      </c>
      <c r="DR20" s="74">
        <v>1</v>
      </c>
      <c r="DS20" s="74">
        <v>1</v>
      </c>
      <c r="DT20" s="74">
        <v>1</v>
      </c>
      <c r="DU20" s="74">
        <v>1</v>
      </c>
      <c r="DV20" s="74">
        <v>1</v>
      </c>
      <c r="DW20" s="78">
        <v>1</v>
      </c>
      <c r="DX20" s="74">
        <v>1</v>
      </c>
      <c r="DY20" s="74">
        <v>1</v>
      </c>
      <c r="DZ20" s="74">
        <v>1</v>
      </c>
      <c r="EA20" s="74">
        <v>1</v>
      </c>
      <c r="EB20" s="74">
        <v>1</v>
      </c>
      <c r="EC20" s="74">
        <v>1</v>
      </c>
      <c r="ED20" s="74">
        <v>1</v>
      </c>
      <c r="EE20" s="74">
        <v>1</v>
      </c>
      <c r="EF20" s="74">
        <v>1</v>
      </c>
      <c r="EG20" s="74">
        <v>1</v>
      </c>
      <c r="EH20" s="74">
        <v>1</v>
      </c>
      <c r="EI20" s="74">
        <v>1</v>
      </c>
      <c r="EJ20" s="74">
        <v>1</v>
      </c>
      <c r="EK20" s="74">
        <v>1</v>
      </c>
      <c r="EL20" s="74">
        <v>1</v>
      </c>
      <c r="EM20" s="74">
        <v>1</v>
      </c>
      <c r="EN20" s="74">
        <v>1</v>
      </c>
      <c r="EO20" s="74">
        <v>1</v>
      </c>
      <c r="EP20" s="74">
        <v>1</v>
      </c>
      <c r="EQ20" s="74">
        <v>1</v>
      </c>
      <c r="ER20" s="74">
        <v>1</v>
      </c>
      <c r="ES20" s="74">
        <v>1</v>
      </c>
      <c r="ET20" s="74">
        <v>1</v>
      </c>
      <c r="EU20" s="78">
        <v>1</v>
      </c>
      <c r="EV20" s="74">
        <v>1</v>
      </c>
      <c r="EW20" s="74">
        <v>1</v>
      </c>
      <c r="EX20" s="74">
        <v>1</v>
      </c>
      <c r="EY20" s="74">
        <v>1</v>
      </c>
      <c r="EZ20" s="74">
        <v>1</v>
      </c>
      <c r="FA20" s="74">
        <v>1</v>
      </c>
      <c r="FB20" s="74">
        <v>1</v>
      </c>
      <c r="FC20" s="74">
        <v>1</v>
      </c>
      <c r="FD20" s="74">
        <v>1</v>
      </c>
      <c r="FE20" s="74">
        <v>1</v>
      </c>
      <c r="FF20" s="74">
        <v>1</v>
      </c>
      <c r="FG20" s="74">
        <v>1</v>
      </c>
      <c r="FH20" s="74">
        <v>1</v>
      </c>
      <c r="FI20" s="74">
        <v>1</v>
      </c>
      <c r="FJ20" s="74">
        <v>1</v>
      </c>
      <c r="FK20" s="74">
        <v>1</v>
      </c>
      <c r="FL20" s="74">
        <v>1</v>
      </c>
      <c r="FM20" s="74">
        <v>1</v>
      </c>
      <c r="FN20" s="74">
        <v>1</v>
      </c>
      <c r="FO20" s="74">
        <v>1</v>
      </c>
      <c r="FP20" s="74">
        <v>1</v>
      </c>
      <c r="FQ20" s="74">
        <v>1</v>
      </c>
      <c r="FR20" s="74">
        <v>1</v>
      </c>
      <c r="FS20" s="78">
        <v>1</v>
      </c>
      <c r="FT20" s="74">
        <v>1</v>
      </c>
      <c r="FU20" s="74">
        <v>1</v>
      </c>
      <c r="FV20" s="74">
        <v>1</v>
      </c>
      <c r="FW20" s="74">
        <v>1</v>
      </c>
      <c r="FX20" s="74">
        <v>1</v>
      </c>
      <c r="FY20" s="74">
        <v>1</v>
      </c>
      <c r="FZ20" s="74">
        <v>1</v>
      </c>
      <c r="GA20" s="74">
        <v>1</v>
      </c>
      <c r="GB20" s="74">
        <v>1</v>
      </c>
      <c r="GC20" s="74">
        <v>1</v>
      </c>
      <c r="GD20" s="74">
        <v>1</v>
      </c>
      <c r="GE20" s="74">
        <v>1</v>
      </c>
      <c r="GF20" s="74">
        <v>1</v>
      </c>
      <c r="GG20" s="74">
        <v>1</v>
      </c>
      <c r="GH20" s="74">
        <v>1</v>
      </c>
      <c r="GI20" s="74">
        <v>1</v>
      </c>
      <c r="GJ20" s="74">
        <v>1</v>
      </c>
      <c r="GK20" s="74">
        <v>1</v>
      </c>
      <c r="GL20" s="74">
        <v>1</v>
      </c>
      <c r="GM20" s="74">
        <v>1</v>
      </c>
      <c r="GN20" s="74">
        <v>1</v>
      </c>
      <c r="GO20" s="74">
        <v>1</v>
      </c>
      <c r="GP20" s="74">
        <v>1</v>
      </c>
      <c r="GQ20" s="78">
        <v>1</v>
      </c>
      <c r="GR20" s="74">
        <v>1</v>
      </c>
      <c r="GS20" s="74">
        <v>1</v>
      </c>
      <c r="GT20" s="74">
        <v>1</v>
      </c>
      <c r="GU20" s="74">
        <v>1</v>
      </c>
      <c r="GV20" s="74">
        <v>1</v>
      </c>
      <c r="GW20" s="74">
        <v>1</v>
      </c>
      <c r="GX20" s="74">
        <v>1</v>
      </c>
      <c r="GY20" s="74">
        <v>1</v>
      </c>
      <c r="GZ20" s="74">
        <v>1</v>
      </c>
      <c r="HA20" s="74">
        <v>1</v>
      </c>
      <c r="HB20" s="74">
        <v>1</v>
      </c>
      <c r="HC20" s="74">
        <v>1</v>
      </c>
      <c r="HD20" s="74">
        <v>1</v>
      </c>
      <c r="HE20" s="74">
        <v>1</v>
      </c>
      <c r="HF20" s="74">
        <v>1</v>
      </c>
      <c r="HG20" s="74">
        <v>1</v>
      </c>
      <c r="HH20" s="74">
        <v>1</v>
      </c>
      <c r="HI20" s="74">
        <v>1</v>
      </c>
      <c r="HJ20" s="74">
        <v>1</v>
      </c>
      <c r="HK20" s="74">
        <v>1</v>
      </c>
      <c r="HL20" s="74">
        <v>1</v>
      </c>
      <c r="HM20" s="74">
        <v>1</v>
      </c>
      <c r="HN20" s="74">
        <v>1</v>
      </c>
      <c r="HO20" s="74">
        <v>1</v>
      </c>
      <c r="HP20" s="74">
        <v>1</v>
      </c>
      <c r="HQ20" s="74">
        <v>1</v>
      </c>
      <c r="HR20" s="74">
        <v>1</v>
      </c>
      <c r="HS20" s="74">
        <v>1</v>
      </c>
      <c r="HT20" s="74">
        <v>1</v>
      </c>
      <c r="HU20" s="74">
        <v>1</v>
      </c>
      <c r="HV20" s="74">
        <v>1</v>
      </c>
      <c r="HW20" s="74">
        <v>1</v>
      </c>
      <c r="HX20" s="75">
        <v>1</v>
      </c>
    </row>
    <row r="21" spans="1:232" x14ac:dyDescent="0.2">
      <c r="B21" s="103" t="s">
        <v>67</v>
      </c>
      <c r="C21" s="107" t="s">
        <v>132</v>
      </c>
      <c r="D21" s="108">
        <v>5.2</v>
      </c>
      <c r="E21" s="107" t="s">
        <v>128</v>
      </c>
      <c r="F21" s="107" t="s">
        <v>124</v>
      </c>
      <c r="G21" s="78">
        <v>1</v>
      </c>
      <c r="H21" s="74">
        <v>1</v>
      </c>
      <c r="I21" s="74">
        <v>1</v>
      </c>
      <c r="J21" s="74">
        <v>1</v>
      </c>
      <c r="K21" s="74">
        <v>1</v>
      </c>
      <c r="L21" s="74">
        <v>1</v>
      </c>
      <c r="M21" s="74">
        <v>1</v>
      </c>
      <c r="N21" s="74">
        <v>1</v>
      </c>
      <c r="O21" s="74">
        <v>1</v>
      </c>
      <c r="P21" s="74">
        <v>1</v>
      </c>
      <c r="Q21" s="74">
        <v>1</v>
      </c>
      <c r="R21" s="74">
        <v>1</v>
      </c>
      <c r="S21" s="74">
        <v>1</v>
      </c>
      <c r="T21" s="74">
        <v>1</v>
      </c>
      <c r="U21" s="74">
        <v>1</v>
      </c>
      <c r="V21" s="74">
        <v>1</v>
      </c>
      <c r="W21" s="74">
        <v>1</v>
      </c>
      <c r="X21" s="74">
        <v>1</v>
      </c>
      <c r="Y21" s="74">
        <v>1</v>
      </c>
      <c r="Z21" s="74">
        <v>1</v>
      </c>
      <c r="AA21" s="74">
        <v>1</v>
      </c>
      <c r="AB21" s="74">
        <v>1</v>
      </c>
      <c r="AC21" s="74">
        <v>1</v>
      </c>
      <c r="AD21" s="74">
        <v>1</v>
      </c>
      <c r="AE21" s="78">
        <v>1</v>
      </c>
      <c r="AF21" s="74">
        <v>1</v>
      </c>
      <c r="AG21" s="74">
        <v>1</v>
      </c>
      <c r="AH21" s="74">
        <v>1</v>
      </c>
      <c r="AI21" s="74">
        <v>1</v>
      </c>
      <c r="AJ21" s="74">
        <v>1</v>
      </c>
      <c r="AK21" s="74">
        <v>1</v>
      </c>
      <c r="AL21" s="74">
        <v>1</v>
      </c>
      <c r="AM21" s="74">
        <v>1</v>
      </c>
      <c r="AN21" s="74">
        <v>1</v>
      </c>
      <c r="AO21" s="74">
        <v>1</v>
      </c>
      <c r="AP21" s="74">
        <v>1</v>
      </c>
      <c r="AQ21" s="74">
        <v>1</v>
      </c>
      <c r="AR21" s="74">
        <v>1</v>
      </c>
      <c r="AS21" s="74">
        <v>1</v>
      </c>
      <c r="AT21" s="74">
        <v>1</v>
      </c>
      <c r="AU21" s="74">
        <v>1</v>
      </c>
      <c r="AV21" s="74">
        <v>1</v>
      </c>
      <c r="AW21" s="74">
        <v>1</v>
      </c>
      <c r="AX21" s="74">
        <v>1</v>
      </c>
      <c r="AY21" s="74">
        <v>1</v>
      </c>
      <c r="AZ21" s="74">
        <v>1</v>
      </c>
      <c r="BA21" s="74">
        <v>0</v>
      </c>
      <c r="BB21" s="74">
        <v>0</v>
      </c>
      <c r="BC21" s="78">
        <v>0</v>
      </c>
      <c r="BD21" s="74">
        <v>0</v>
      </c>
      <c r="BE21" s="74">
        <v>0</v>
      </c>
      <c r="BF21" s="74">
        <v>0</v>
      </c>
      <c r="BG21" s="74">
        <v>0</v>
      </c>
      <c r="BH21" s="74">
        <v>0</v>
      </c>
      <c r="BI21" s="74">
        <v>0</v>
      </c>
      <c r="BJ21" s="74">
        <v>0</v>
      </c>
      <c r="BK21" s="74">
        <v>0</v>
      </c>
      <c r="BL21" s="74">
        <v>0</v>
      </c>
      <c r="BM21" s="74">
        <v>0</v>
      </c>
      <c r="BN21" s="74">
        <v>0</v>
      </c>
      <c r="BO21" s="74">
        <v>0</v>
      </c>
      <c r="BP21" s="74">
        <v>0</v>
      </c>
      <c r="BQ21" s="74">
        <v>0</v>
      </c>
      <c r="BR21" s="74">
        <v>0</v>
      </c>
      <c r="BS21" s="74">
        <v>0</v>
      </c>
      <c r="BT21" s="74">
        <v>0</v>
      </c>
      <c r="BU21" s="74">
        <v>0</v>
      </c>
      <c r="BV21" s="74">
        <v>0</v>
      </c>
      <c r="BW21" s="74">
        <v>0</v>
      </c>
      <c r="BX21" s="74">
        <v>0</v>
      </c>
      <c r="BY21" s="74">
        <v>0</v>
      </c>
      <c r="BZ21" s="74">
        <v>0</v>
      </c>
      <c r="CA21" s="78">
        <v>0</v>
      </c>
      <c r="CB21" s="74">
        <v>0</v>
      </c>
      <c r="CC21" s="74">
        <v>0</v>
      </c>
      <c r="CD21" s="74">
        <v>0</v>
      </c>
      <c r="CE21" s="74">
        <v>0</v>
      </c>
      <c r="CF21" s="74">
        <v>0</v>
      </c>
      <c r="CG21" s="74">
        <v>0</v>
      </c>
      <c r="CH21" s="74">
        <v>0</v>
      </c>
      <c r="CI21" s="74">
        <v>0</v>
      </c>
      <c r="CJ21" s="74">
        <v>0</v>
      </c>
      <c r="CK21" s="74">
        <v>0</v>
      </c>
      <c r="CL21" s="74">
        <v>0</v>
      </c>
      <c r="CM21" s="74">
        <v>0</v>
      </c>
      <c r="CN21" s="74">
        <v>0</v>
      </c>
      <c r="CO21" s="74">
        <v>0</v>
      </c>
      <c r="CP21" s="74">
        <v>0</v>
      </c>
      <c r="CQ21" s="74">
        <v>0</v>
      </c>
      <c r="CR21" s="74">
        <v>0</v>
      </c>
      <c r="CS21" s="74">
        <v>0</v>
      </c>
      <c r="CT21" s="74">
        <v>0</v>
      </c>
      <c r="CU21" s="74">
        <v>0</v>
      </c>
      <c r="CV21" s="74">
        <v>0</v>
      </c>
      <c r="CW21" s="74">
        <v>0</v>
      </c>
      <c r="CX21" s="74">
        <v>0</v>
      </c>
      <c r="CY21" s="78">
        <v>0</v>
      </c>
      <c r="CZ21" s="74">
        <v>0</v>
      </c>
      <c r="DA21" s="74">
        <v>0</v>
      </c>
      <c r="DB21" s="74">
        <v>0</v>
      </c>
      <c r="DC21" s="74">
        <v>0</v>
      </c>
      <c r="DD21" s="74">
        <v>0</v>
      </c>
      <c r="DE21" s="74">
        <v>0</v>
      </c>
      <c r="DF21" s="74">
        <v>0</v>
      </c>
      <c r="DG21" s="74">
        <v>0</v>
      </c>
      <c r="DH21" s="74">
        <v>0</v>
      </c>
      <c r="DI21" s="74">
        <v>0</v>
      </c>
      <c r="DJ21" s="74">
        <v>0</v>
      </c>
      <c r="DK21" s="74">
        <v>0</v>
      </c>
      <c r="DL21" s="74">
        <v>0</v>
      </c>
      <c r="DM21" s="74">
        <v>0</v>
      </c>
      <c r="DN21" s="74">
        <v>0</v>
      </c>
      <c r="DO21" s="74">
        <v>0</v>
      </c>
      <c r="DP21" s="74">
        <v>0</v>
      </c>
      <c r="DQ21" s="74">
        <v>0</v>
      </c>
      <c r="DR21" s="74">
        <v>0</v>
      </c>
      <c r="DS21" s="74">
        <v>0</v>
      </c>
      <c r="DT21" s="74">
        <v>0</v>
      </c>
      <c r="DU21" s="74">
        <v>0</v>
      </c>
      <c r="DV21" s="74">
        <v>0</v>
      </c>
      <c r="DW21" s="78">
        <v>0</v>
      </c>
      <c r="DX21" s="74">
        <v>0</v>
      </c>
      <c r="DY21" s="74">
        <v>0</v>
      </c>
      <c r="DZ21" s="74">
        <v>0</v>
      </c>
      <c r="EA21" s="74">
        <v>0</v>
      </c>
      <c r="EB21" s="74">
        <v>0</v>
      </c>
      <c r="EC21" s="74">
        <v>0</v>
      </c>
      <c r="ED21" s="74">
        <v>0</v>
      </c>
      <c r="EE21" s="74">
        <v>0</v>
      </c>
      <c r="EF21" s="74">
        <v>0</v>
      </c>
      <c r="EG21" s="74">
        <v>0</v>
      </c>
      <c r="EH21" s="74">
        <v>0</v>
      </c>
      <c r="EI21" s="74">
        <v>0</v>
      </c>
      <c r="EJ21" s="74">
        <v>0</v>
      </c>
      <c r="EK21" s="74">
        <v>0</v>
      </c>
      <c r="EL21" s="74">
        <v>0</v>
      </c>
      <c r="EM21" s="74">
        <v>0</v>
      </c>
      <c r="EN21" s="74">
        <v>0</v>
      </c>
      <c r="EO21" s="74">
        <v>0</v>
      </c>
      <c r="EP21" s="74">
        <v>0</v>
      </c>
      <c r="EQ21" s="74">
        <v>0</v>
      </c>
      <c r="ER21" s="74">
        <v>0</v>
      </c>
      <c r="ES21" s="74">
        <v>0</v>
      </c>
      <c r="ET21" s="74">
        <v>0</v>
      </c>
      <c r="EU21" s="78">
        <v>0</v>
      </c>
      <c r="EV21" s="74">
        <v>0</v>
      </c>
      <c r="EW21" s="74">
        <v>0</v>
      </c>
      <c r="EX21" s="74">
        <v>0</v>
      </c>
      <c r="EY21" s="74">
        <v>0</v>
      </c>
      <c r="EZ21" s="74">
        <v>0</v>
      </c>
      <c r="FA21" s="74">
        <v>0</v>
      </c>
      <c r="FB21" s="74">
        <v>0</v>
      </c>
      <c r="FC21" s="74">
        <v>0</v>
      </c>
      <c r="FD21" s="74">
        <v>0</v>
      </c>
      <c r="FE21" s="74">
        <v>0</v>
      </c>
      <c r="FF21" s="74">
        <v>0</v>
      </c>
      <c r="FG21" s="74">
        <v>0</v>
      </c>
      <c r="FH21" s="74">
        <v>0</v>
      </c>
      <c r="FI21" s="74">
        <v>0</v>
      </c>
      <c r="FJ21" s="74">
        <v>0</v>
      </c>
      <c r="FK21" s="74">
        <v>0</v>
      </c>
      <c r="FL21" s="74">
        <v>0</v>
      </c>
      <c r="FM21" s="74">
        <v>0</v>
      </c>
      <c r="FN21" s="74">
        <v>0</v>
      </c>
      <c r="FO21" s="74">
        <v>0</v>
      </c>
      <c r="FP21" s="74">
        <v>0</v>
      </c>
      <c r="FQ21" s="74">
        <v>0</v>
      </c>
      <c r="FR21" s="74">
        <v>0</v>
      </c>
      <c r="FS21" s="78">
        <v>0</v>
      </c>
      <c r="FT21" s="74">
        <v>0</v>
      </c>
      <c r="FU21" s="74">
        <v>0</v>
      </c>
      <c r="FV21" s="74">
        <v>0</v>
      </c>
      <c r="FW21" s="74">
        <v>0</v>
      </c>
      <c r="FX21" s="74">
        <v>0</v>
      </c>
      <c r="FY21" s="74">
        <v>0</v>
      </c>
      <c r="FZ21" s="74">
        <v>0</v>
      </c>
      <c r="GA21" s="74">
        <v>0</v>
      </c>
      <c r="GB21" s="74">
        <v>0</v>
      </c>
      <c r="GC21" s="74">
        <v>0</v>
      </c>
      <c r="GD21" s="74">
        <v>0</v>
      </c>
      <c r="GE21" s="74">
        <v>0</v>
      </c>
      <c r="GF21" s="74">
        <v>0</v>
      </c>
      <c r="GG21" s="74">
        <v>0</v>
      </c>
      <c r="GH21" s="74">
        <v>0</v>
      </c>
      <c r="GI21" s="74">
        <v>0</v>
      </c>
      <c r="GJ21" s="74">
        <v>0</v>
      </c>
      <c r="GK21" s="74">
        <v>0</v>
      </c>
      <c r="GL21" s="74">
        <v>0</v>
      </c>
      <c r="GM21" s="74">
        <v>0</v>
      </c>
      <c r="GN21" s="74">
        <v>0</v>
      </c>
      <c r="GO21" s="74">
        <v>0</v>
      </c>
      <c r="GP21" s="74">
        <v>0</v>
      </c>
      <c r="GQ21" s="78">
        <v>0</v>
      </c>
      <c r="GR21" s="74">
        <v>0</v>
      </c>
      <c r="GS21" s="74">
        <v>0</v>
      </c>
      <c r="GT21" s="74">
        <v>0</v>
      </c>
      <c r="GU21" s="74">
        <v>0</v>
      </c>
      <c r="GV21" s="74">
        <v>0</v>
      </c>
      <c r="GW21" s="74">
        <v>0</v>
      </c>
      <c r="GX21" s="74">
        <v>0</v>
      </c>
      <c r="GY21" s="74">
        <v>0</v>
      </c>
      <c r="GZ21" s="74">
        <v>0</v>
      </c>
      <c r="HA21" s="74">
        <v>0</v>
      </c>
      <c r="HB21" s="74">
        <v>0</v>
      </c>
      <c r="HC21" s="74">
        <v>0</v>
      </c>
      <c r="HD21" s="74">
        <v>0</v>
      </c>
      <c r="HE21" s="74">
        <v>0</v>
      </c>
      <c r="HF21" s="74">
        <v>0</v>
      </c>
      <c r="HG21" s="74">
        <v>0</v>
      </c>
      <c r="HH21" s="74">
        <v>0</v>
      </c>
      <c r="HI21" s="74">
        <v>0</v>
      </c>
      <c r="HJ21" s="74">
        <v>0</v>
      </c>
      <c r="HK21" s="74">
        <v>0</v>
      </c>
      <c r="HL21" s="74">
        <v>0</v>
      </c>
      <c r="HM21" s="74">
        <v>0</v>
      </c>
      <c r="HN21" s="74">
        <v>0</v>
      </c>
      <c r="HO21" s="74">
        <v>0</v>
      </c>
      <c r="HP21" s="74">
        <v>0</v>
      </c>
      <c r="HQ21" s="74">
        <v>0</v>
      </c>
      <c r="HR21" s="74">
        <v>0</v>
      </c>
      <c r="HS21" s="74">
        <v>0</v>
      </c>
      <c r="HT21" s="74">
        <v>0</v>
      </c>
      <c r="HU21" s="74">
        <v>0</v>
      </c>
      <c r="HV21" s="74">
        <v>0</v>
      </c>
      <c r="HW21" s="74">
        <v>0</v>
      </c>
      <c r="HX21" s="75">
        <v>0</v>
      </c>
    </row>
    <row r="22" spans="1:232" x14ac:dyDescent="0.2">
      <c r="B22" s="107" t="s">
        <v>68</v>
      </c>
      <c r="C22" s="107" t="s">
        <v>131</v>
      </c>
      <c r="D22" s="108">
        <v>5.2</v>
      </c>
      <c r="E22" s="107" t="s">
        <v>128</v>
      </c>
      <c r="F22" s="107" t="s">
        <v>124</v>
      </c>
      <c r="G22" s="78">
        <v>1</v>
      </c>
      <c r="H22" s="74">
        <v>1</v>
      </c>
      <c r="I22" s="74">
        <v>1</v>
      </c>
      <c r="J22" s="74">
        <v>1</v>
      </c>
      <c r="K22" s="74">
        <v>1</v>
      </c>
      <c r="L22" s="74">
        <v>1</v>
      </c>
      <c r="M22" s="74">
        <v>1</v>
      </c>
      <c r="N22" s="74">
        <v>1</v>
      </c>
      <c r="O22" s="74">
        <v>1</v>
      </c>
      <c r="P22" s="74">
        <v>1</v>
      </c>
      <c r="Q22" s="74">
        <v>1</v>
      </c>
      <c r="R22" s="74">
        <v>1</v>
      </c>
      <c r="S22" s="74">
        <v>1</v>
      </c>
      <c r="T22" s="74">
        <v>1</v>
      </c>
      <c r="U22" s="74">
        <v>1</v>
      </c>
      <c r="V22" s="74">
        <v>1</v>
      </c>
      <c r="W22" s="74">
        <v>1</v>
      </c>
      <c r="X22" s="74">
        <v>1</v>
      </c>
      <c r="Y22" s="74">
        <v>1</v>
      </c>
      <c r="Z22" s="74">
        <v>1</v>
      </c>
      <c r="AA22" s="74">
        <v>1</v>
      </c>
      <c r="AB22" s="74">
        <v>1</v>
      </c>
      <c r="AC22" s="74">
        <v>1</v>
      </c>
      <c r="AD22" s="74">
        <v>1</v>
      </c>
      <c r="AE22" s="78">
        <v>1</v>
      </c>
      <c r="AF22" s="74">
        <v>1</v>
      </c>
      <c r="AG22" s="74">
        <v>1</v>
      </c>
      <c r="AH22" s="74">
        <v>1</v>
      </c>
      <c r="AI22" s="74">
        <v>1</v>
      </c>
      <c r="AJ22" s="74">
        <v>1</v>
      </c>
      <c r="AK22" s="74">
        <v>1</v>
      </c>
      <c r="AL22" s="74">
        <v>1</v>
      </c>
      <c r="AM22" s="74">
        <v>1</v>
      </c>
      <c r="AN22" s="74">
        <v>1</v>
      </c>
      <c r="AO22" s="74">
        <v>1</v>
      </c>
      <c r="AP22" s="74">
        <v>1</v>
      </c>
      <c r="AQ22" s="74">
        <v>1</v>
      </c>
      <c r="AR22" s="74">
        <v>1</v>
      </c>
      <c r="AS22" s="74">
        <v>1</v>
      </c>
      <c r="AT22" s="74">
        <v>1</v>
      </c>
      <c r="AU22" s="74">
        <v>1</v>
      </c>
      <c r="AV22" s="74">
        <v>1</v>
      </c>
      <c r="AW22" s="74">
        <v>1</v>
      </c>
      <c r="AX22" s="74">
        <v>1</v>
      </c>
      <c r="AY22" s="74">
        <v>1</v>
      </c>
      <c r="AZ22" s="74">
        <v>1</v>
      </c>
      <c r="BA22" s="74">
        <v>0</v>
      </c>
      <c r="BB22" s="74">
        <v>0</v>
      </c>
      <c r="BC22" s="78">
        <v>0</v>
      </c>
      <c r="BD22" s="74">
        <v>0</v>
      </c>
      <c r="BE22" s="74">
        <v>0</v>
      </c>
      <c r="BF22" s="74">
        <v>0</v>
      </c>
      <c r="BG22" s="74">
        <v>0</v>
      </c>
      <c r="BH22" s="74">
        <v>0</v>
      </c>
      <c r="BI22" s="74">
        <v>0</v>
      </c>
      <c r="BJ22" s="74">
        <v>0</v>
      </c>
      <c r="BK22" s="74">
        <v>0</v>
      </c>
      <c r="BL22" s="74">
        <v>0</v>
      </c>
      <c r="BM22" s="74">
        <v>0</v>
      </c>
      <c r="BN22" s="74">
        <v>0</v>
      </c>
      <c r="BO22" s="74">
        <v>0</v>
      </c>
      <c r="BP22" s="74">
        <v>0</v>
      </c>
      <c r="BQ22" s="74">
        <v>0</v>
      </c>
      <c r="BR22" s="74">
        <v>0</v>
      </c>
      <c r="BS22" s="74">
        <v>0</v>
      </c>
      <c r="BT22" s="74">
        <v>0</v>
      </c>
      <c r="BU22" s="74">
        <v>0</v>
      </c>
      <c r="BV22" s="74">
        <v>0</v>
      </c>
      <c r="BW22" s="74">
        <v>0</v>
      </c>
      <c r="BX22" s="74">
        <v>0</v>
      </c>
      <c r="BY22" s="74">
        <v>0</v>
      </c>
      <c r="BZ22" s="74">
        <v>0</v>
      </c>
      <c r="CA22" s="78">
        <v>0</v>
      </c>
      <c r="CB22" s="74">
        <v>0</v>
      </c>
      <c r="CC22" s="74">
        <v>0</v>
      </c>
      <c r="CD22" s="74">
        <v>0</v>
      </c>
      <c r="CE22" s="74">
        <v>0</v>
      </c>
      <c r="CF22" s="74">
        <v>0</v>
      </c>
      <c r="CG22" s="74">
        <v>0</v>
      </c>
      <c r="CH22" s="74">
        <v>0</v>
      </c>
      <c r="CI22" s="74">
        <v>0</v>
      </c>
      <c r="CJ22" s="74">
        <v>0</v>
      </c>
      <c r="CK22" s="74">
        <v>0</v>
      </c>
      <c r="CL22" s="74">
        <v>0</v>
      </c>
      <c r="CM22" s="74">
        <v>0</v>
      </c>
      <c r="CN22" s="74">
        <v>0</v>
      </c>
      <c r="CO22" s="74">
        <v>0</v>
      </c>
      <c r="CP22" s="74">
        <v>0</v>
      </c>
      <c r="CQ22" s="74">
        <v>0</v>
      </c>
      <c r="CR22" s="74">
        <v>0</v>
      </c>
      <c r="CS22" s="74">
        <v>0</v>
      </c>
      <c r="CT22" s="74">
        <v>0</v>
      </c>
      <c r="CU22" s="74">
        <v>0</v>
      </c>
      <c r="CV22" s="74">
        <v>0</v>
      </c>
      <c r="CW22" s="74">
        <v>0</v>
      </c>
      <c r="CX22" s="74">
        <v>0</v>
      </c>
      <c r="CY22" s="78">
        <v>0</v>
      </c>
      <c r="CZ22" s="74">
        <v>0</v>
      </c>
      <c r="DA22" s="74">
        <v>0</v>
      </c>
      <c r="DB22" s="74">
        <v>0</v>
      </c>
      <c r="DC22" s="74">
        <v>0</v>
      </c>
      <c r="DD22" s="74">
        <v>0</v>
      </c>
      <c r="DE22" s="74">
        <v>0</v>
      </c>
      <c r="DF22" s="74">
        <v>0</v>
      </c>
      <c r="DG22" s="74">
        <v>0</v>
      </c>
      <c r="DH22" s="74">
        <v>0</v>
      </c>
      <c r="DI22" s="74">
        <v>0</v>
      </c>
      <c r="DJ22" s="74">
        <v>0</v>
      </c>
      <c r="DK22" s="74">
        <v>0</v>
      </c>
      <c r="DL22" s="74">
        <v>0</v>
      </c>
      <c r="DM22" s="74">
        <v>0</v>
      </c>
      <c r="DN22" s="74">
        <v>0</v>
      </c>
      <c r="DO22" s="74">
        <v>0</v>
      </c>
      <c r="DP22" s="74">
        <v>0</v>
      </c>
      <c r="DQ22" s="74">
        <v>0</v>
      </c>
      <c r="DR22" s="74">
        <v>0</v>
      </c>
      <c r="DS22" s="74">
        <v>0</v>
      </c>
      <c r="DT22" s="74">
        <v>0</v>
      </c>
      <c r="DU22" s="74">
        <v>0</v>
      </c>
      <c r="DV22" s="74">
        <v>0</v>
      </c>
      <c r="DW22" s="78">
        <v>0</v>
      </c>
      <c r="DX22" s="74">
        <v>0</v>
      </c>
      <c r="DY22" s="74">
        <v>0</v>
      </c>
      <c r="DZ22" s="74">
        <v>0</v>
      </c>
      <c r="EA22" s="74">
        <v>0</v>
      </c>
      <c r="EB22" s="74">
        <v>0</v>
      </c>
      <c r="EC22" s="74">
        <v>0</v>
      </c>
      <c r="ED22" s="74">
        <v>0</v>
      </c>
      <c r="EE22" s="74">
        <v>0</v>
      </c>
      <c r="EF22" s="74">
        <v>0</v>
      </c>
      <c r="EG22" s="74">
        <v>0</v>
      </c>
      <c r="EH22" s="74">
        <v>0</v>
      </c>
      <c r="EI22" s="74">
        <v>0</v>
      </c>
      <c r="EJ22" s="74">
        <v>0</v>
      </c>
      <c r="EK22" s="74">
        <v>0</v>
      </c>
      <c r="EL22" s="74">
        <v>0</v>
      </c>
      <c r="EM22" s="74">
        <v>0</v>
      </c>
      <c r="EN22" s="74">
        <v>0</v>
      </c>
      <c r="EO22" s="74">
        <v>0</v>
      </c>
      <c r="EP22" s="74">
        <v>0</v>
      </c>
      <c r="EQ22" s="74">
        <v>0</v>
      </c>
      <c r="ER22" s="74">
        <v>0</v>
      </c>
      <c r="ES22" s="74">
        <v>0</v>
      </c>
      <c r="ET22" s="74">
        <v>0</v>
      </c>
      <c r="EU22" s="78">
        <v>0</v>
      </c>
      <c r="EV22" s="74">
        <v>0</v>
      </c>
      <c r="EW22" s="74">
        <v>0</v>
      </c>
      <c r="EX22" s="74">
        <v>0</v>
      </c>
      <c r="EY22" s="74">
        <v>0</v>
      </c>
      <c r="EZ22" s="74">
        <v>0</v>
      </c>
      <c r="FA22" s="74">
        <v>0</v>
      </c>
      <c r="FB22" s="74">
        <v>0</v>
      </c>
      <c r="FC22" s="74">
        <v>0</v>
      </c>
      <c r="FD22" s="74">
        <v>0</v>
      </c>
      <c r="FE22" s="74">
        <v>0</v>
      </c>
      <c r="FF22" s="74">
        <v>0</v>
      </c>
      <c r="FG22" s="74">
        <v>0</v>
      </c>
      <c r="FH22" s="74">
        <v>0</v>
      </c>
      <c r="FI22" s="74">
        <v>0</v>
      </c>
      <c r="FJ22" s="74">
        <v>0</v>
      </c>
      <c r="FK22" s="74">
        <v>0</v>
      </c>
      <c r="FL22" s="74">
        <v>0</v>
      </c>
      <c r="FM22" s="74">
        <v>0</v>
      </c>
      <c r="FN22" s="74">
        <v>0</v>
      </c>
      <c r="FO22" s="74">
        <v>0</v>
      </c>
      <c r="FP22" s="74">
        <v>0</v>
      </c>
      <c r="FQ22" s="74">
        <v>0</v>
      </c>
      <c r="FR22" s="74">
        <v>0</v>
      </c>
      <c r="FS22" s="78">
        <v>0</v>
      </c>
      <c r="FT22" s="74">
        <v>0</v>
      </c>
      <c r="FU22" s="74">
        <v>0</v>
      </c>
      <c r="FV22" s="74">
        <v>0</v>
      </c>
      <c r="FW22" s="74">
        <v>0</v>
      </c>
      <c r="FX22" s="74">
        <v>0</v>
      </c>
      <c r="FY22" s="74">
        <v>0</v>
      </c>
      <c r="FZ22" s="74">
        <v>0</v>
      </c>
      <c r="GA22" s="74">
        <v>0</v>
      </c>
      <c r="GB22" s="74">
        <v>0</v>
      </c>
      <c r="GC22" s="74">
        <v>0</v>
      </c>
      <c r="GD22" s="74">
        <v>0</v>
      </c>
      <c r="GE22" s="74">
        <v>0</v>
      </c>
      <c r="GF22" s="74">
        <v>0</v>
      </c>
      <c r="GG22" s="74">
        <v>0</v>
      </c>
      <c r="GH22" s="74">
        <v>0</v>
      </c>
      <c r="GI22" s="74">
        <v>0</v>
      </c>
      <c r="GJ22" s="74">
        <v>0</v>
      </c>
      <c r="GK22" s="74">
        <v>0</v>
      </c>
      <c r="GL22" s="74">
        <v>0</v>
      </c>
      <c r="GM22" s="74">
        <v>0</v>
      </c>
      <c r="GN22" s="74">
        <v>0</v>
      </c>
      <c r="GO22" s="74">
        <v>0</v>
      </c>
      <c r="GP22" s="74">
        <v>0</v>
      </c>
      <c r="GQ22" s="78">
        <v>0</v>
      </c>
      <c r="GR22" s="74">
        <v>0</v>
      </c>
      <c r="GS22" s="74">
        <v>0</v>
      </c>
      <c r="GT22" s="74">
        <v>0</v>
      </c>
      <c r="GU22" s="74">
        <v>0</v>
      </c>
      <c r="GV22" s="74">
        <v>0</v>
      </c>
      <c r="GW22" s="74">
        <v>0</v>
      </c>
      <c r="GX22" s="74">
        <v>0</v>
      </c>
      <c r="GY22" s="74">
        <v>0</v>
      </c>
      <c r="GZ22" s="74">
        <v>0</v>
      </c>
      <c r="HA22" s="74">
        <v>0</v>
      </c>
      <c r="HB22" s="74">
        <v>0</v>
      </c>
      <c r="HC22" s="74">
        <v>0</v>
      </c>
      <c r="HD22" s="74">
        <v>0</v>
      </c>
      <c r="HE22" s="74">
        <v>0</v>
      </c>
      <c r="HF22" s="74">
        <v>0</v>
      </c>
      <c r="HG22" s="74">
        <v>0</v>
      </c>
      <c r="HH22" s="74">
        <v>0</v>
      </c>
      <c r="HI22" s="74">
        <v>0</v>
      </c>
      <c r="HJ22" s="74">
        <v>0</v>
      </c>
      <c r="HK22" s="74">
        <v>0</v>
      </c>
      <c r="HL22" s="74">
        <v>0</v>
      </c>
      <c r="HM22" s="74">
        <v>0</v>
      </c>
      <c r="HN22" s="74">
        <v>0</v>
      </c>
      <c r="HO22" s="74">
        <v>0</v>
      </c>
      <c r="HP22" s="74">
        <v>0</v>
      </c>
      <c r="HQ22" s="74">
        <v>0</v>
      </c>
      <c r="HR22" s="74">
        <v>0</v>
      </c>
      <c r="HS22" s="74">
        <v>0</v>
      </c>
      <c r="HT22" s="74">
        <v>0</v>
      </c>
      <c r="HU22" s="74">
        <v>0</v>
      </c>
      <c r="HV22" s="74">
        <v>0</v>
      </c>
      <c r="HW22" s="74">
        <v>0</v>
      </c>
      <c r="HX22" s="75">
        <v>0</v>
      </c>
    </row>
    <row r="23" spans="1:232" x14ac:dyDescent="0.2">
      <c r="B23" s="80" t="s">
        <v>69</v>
      </c>
      <c r="C23" s="80" t="s">
        <v>131</v>
      </c>
      <c r="D23" s="81">
        <v>5.2</v>
      </c>
      <c r="E23" s="80" t="s">
        <v>128</v>
      </c>
      <c r="F23" s="80" t="s">
        <v>124</v>
      </c>
      <c r="G23" s="78">
        <v>1</v>
      </c>
      <c r="H23" s="78">
        <v>1</v>
      </c>
      <c r="I23" s="78">
        <v>1</v>
      </c>
      <c r="J23" s="78">
        <v>1</v>
      </c>
      <c r="K23" s="78">
        <v>1</v>
      </c>
      <c r="L23" s="78">
        <v>1</v>
      </c>
      <c r="M23" s="78">
        <v>1</v>
      </c>
      <c r="N23" s="78">
        <v>1</v>
      </c>
      <c r="O23" s="78">
        <v>1</v>
      </c>
      <c r="P23" s="78">
        <v>1</v>
      </c>
      <c r="Q23" s="78">
        <v>1</v>
      </c>
      <c r="R23" s="78">
        <v>1</v>
      </c>
      <c r="S23" s="78">
        <v>1</v>
      </c>
      <c r="T23" s="78">
        <v>1</v>
      </c>
      <c r="U23" s="78">
        <v>1</v>
      </c>
      <c r="V23" s="78">
        <v>1</v>
      </c>
      <c r="W23" s="78">
        <v>1</v>
      </c>
      <c r="X23" s="78">
        <v>1</v>
      </c>
      <c r="Y23" s="78">
        <v>1</v>
      </c>
      <c r="Z23" s="78">
        <v>1</v>
      </c>
      <c r="AA23" s="78">
        <v>1</v>
      </c>
      <c r="AB23" s="78">
        <v>1</v>
      </c>
      <c r="AC23" s="78">
        <v>1</v>
      </c>
      <c r="AD23" s="74">
        <v>1</v>
      </c>
      <c r="AE23" s="78">
        <v>1</v>
      </c>
      <c r="AF23" s="78">
        <v>1</v>
      </c>
      <c r="AG23" s="78">
        <v>1</v>
      </c>
      <c r="AH23" s="78">
        <v>1</v>
      </c>
      <c r="AI23" s="78">
        <v>1</v>
      </c>
      <c r="AJ23" s="78">
        <v>1</v>
      </c>
      <c r="AK23" s="78">
        <v>1</v>
      </c>
      <c r="AL23" s="78">
        <v>1</v>
      </c>
      <c r="AM23" s="78">
        <v>1</v>
      </c>
      <c r="AN23" s="78">
        <v>1</v>
      </c>
      <c r="AO23" s="78">
        <v>1</v>
      </c>
      <c r="AP23" s="78">
        <v>1</v>
      </c>
      <c r="AQ23" s="78">
        <v>1</v>
      </c>
      <c r="AR23" s="78">
        <v>1</v>
      </c>
      <c r="AS23" s="78">
        <v>1</v>
      </c>
      <c r="AT23" s="78">
        <v>1</v>
      </c>
      <c r="AU23" s="78">
        <v>1</v>
      </c>
      <c r="AV23" s="78">
        <v>1</v>
      </c>
      <c r="AW23" s="78">
        <v>1</v>
      </c>
      <c r="AX23" s="78">
        <v>1</v>
      </c>
      <c r="AY23" s="78">
        <v>1</v>
      </c>
      <c r="AZ23" s="78">
        <v>1</v>
      </c>
      <c r="BA23" s="78">
        <v>1</v>
      </c>
      <c r="BB23" s="74">
        <v>1</v>
      </c>
      <c r="BC23" s="78">
        <v>1</v>
      </c>
      <c r="BD23" s="78">
        <v>1</v>
      </c>
      <c r="BE23" s="78">
        <v>1</v>
      </c>
      <c r="BF23" s="78">
        <v>1</v>
      </c>
      <c r="BG23" s="78">
        <v>1</v>
      </c>
      <c r="BH23" s="78">
        <v>1</v>
      </c>
      <c r="BI23" s="78">
        <v>1</v>
      </c>
      <c r="BJ23" s="78">
        <v>1</v>
      </c>
      <c r="BK23" s="78">
        <v>1</v>
      </c>
      <c r="BL23" s="78">
        <v>1</v>
      </c>
      <c r="BM23" s="78">
        <v>1</v>
      </c>
      <c r="BN23" s="78">
        <v>1</v>
      </c>
      <c r="BO23" s="78">
        <v>1</v>
      </c>
      <c r="BP23" s="78">
        <v>1</v>
      </c>
      <c r="BQ23" s="78">
        <v>1</v>
      </c>
      <c r="BR23" s="78">
        <v>1</v>
      </c>
      <c r="BS23" s="78">
        <v>1</v>
      </c>
      <c r="BT23" s="78">
        <v>1</v>
      </c>
      <c r="BU23" s="78">
        <v>1</v>
      </c>
      <c r="BV23" s="78">
        <v>1</v>
      </c>
      <c r="BW23" s="78">
        <v>1</v>
      </c>
      <c r="BX23" s="78">
        <v>1</v>
      </c>
      <c r="BY23" s="78">
        <v>1</v>
      </c>
      <c r="BZ23" s="74">
        <v>1</v>
      </c>
      <c r="CA23" s="78">
        <v>1</v>
      </c>
      <c r="CB23" s="78">
        <v>1</v>
      </c>
      <c r="CC23" s="78">
        <v>1</v>
      </c>
      <c r="CD23" s="78">
        <v>1</v>
      </c>
      <c r="CE23" s="78">
        <v>1</v>
      </c>
      <c r="CF23" s="78">
        <v>1</v>
      </c>
      <c r="CG23" s="78">
        <v>1</v>
      </c>
      <c r="CH23" s="78">
        <v>1</v>
      </c>
      <c r="CI23" s="78">
        <v>1</v>
      </c>
      <c r="CJ23" s="78">
        <v>1</v>
      </c>
      <c r="CK23" s="78">
        <v>1</v>
      </c>
      <c r="CL23" s="78">
        <v>1</v>
      </c>
      <c r="CM23" s="78">
        <v>1</v>
      </c>
      <c r="CN23" s="78">
        <v>1</v>
      </c>
      <c r="CO23" s="78">
        <v>1</v>
      </c>
      <c r="CP23" s="78">
        <v>1</v>
      </c>
      <c r="CQ23" s="78">
        <v>1</v>
      </c>
      <c r="CR23" s="78">
        <v>1</v>
      </c>
      <c r="CS23" s="78">
        <v>1</v>
      </c>
      <c r="CT23" s="78">
        <v>1</v>
      </c>
      <c r="CU23" s="78">
        <v>1</v>
      </c>
      <c r="CV23" s="78">
        <v>1</v>
      </c>
      <c r="CW23" s="78">
        <v>1</v>
      </c>
      <c r="CX23" s="74">
        <v>1</v>
      </c>
      <c r="CY23" s="78">
        <v>1</v>
      </c>
      <c r="CZ23" s="78">
        <v>1</v>
      </c>
      <c r="DA23" s="78">
        <v>1</v>
      </c>
      <c r="DB23" s="78">
        <v>1</v>
      </c>
      <c r="DC23" s="78">
        <v>1</v>
      </c>
      <c r="DD23" s="78">
        <v>1</v>
      </c>
      <c r="DE23" s="78">
        <v>1</v>
      </c>
      <c r="DF23" s="78">
        <v>1</v>
      </c>
      <c r="DG23" s="78">
        <v>1</v>
      </c>
      <c r="DH23" s="78">
        <v>1</v>
      </c>
      <c r="DI23" s="78">
        <v>1</v>
      </c>
      <c r="DJ23" s="78">
        <v>1</v>
      </c>
      <c r="DK23" s="78">
        <v>1</v>
      </c>
      <c r="DL23" s="78">
        <v>1</v>
      </c>
      <c r="DM23" s="78">
        <v>1</v>
      </c>
      <c r="DN23" s="78">
        <v>1</v>
      </c>
      <c r="DO23" s="78">
        <v>1</v>
      </c>
      <c r="DP23" s="78">
        <v>1</v>
      </c>
      <c r="DQ23" s="78">
        <v>1</v>
      </c>
      <c r="DR23" s="78">
        <v>1</v>
      </c>
      <c r="DS23" s="78">
        <v>1</v>
      </c>
      <c r="DT23" s="78">
        <v>1</v>
      </c>
      <c r="DU23" s="78">
        <v>1</v>
      </c>
      <c r="DV23" s="74">
        <v>1</v>
      </c>
      <c r="DW23" s="78">
        <v>1</v>
      </c>
      <c r="DX23" s="78">
        <v>1</v>
      </c>
      <c r="DY23" s="78">
        <v>1</v>
      </c>
      <c r="DZ23" s="78">
        <v>1</v>
      </c>
      <c r="EA23" s="78">
        <v>1</v>
      </c>
      <c r="EB23" s="78">
        <v>1</v>
      </c>
      <c r="EC23" s="78">
        <v>1</v>
      </c>
      <c r="ED23" s="78">
        <v>1</v>
      </c>
      <c r="EE23" s="78">
        <v>1</v>
      </c>
      <c r="EF23" s="78">
        <v>1</v>
      </c>
      <c r="EG23" s="78">
        <v>1</v>
      </c>
      <c r="EH23" s="78">
        <v>1</v>
      </c>
      <c r="EI23" s="78">
        <v>1</v>
      </c>
      <c r="EJ23" s="78">
        <v>1</v>
      </c>
      <c r="EK23" s="78">
        <v>1</v>
      </c>
      <c r="EL23" s="78">
        <v>1</v>
      </c>
      <c r="EM23" s="78">
        <v>1</v>
      </c>
      <c r="EN23" s="78">
        <v>1</v>
      </c>
      <c r="EO23" s="78">
        <v>1</v>
      </c>
      <c r="EP23" s="78">
        <v>1</v>
      </c>
      <c r="EQ23" s="78">
        <v>1</v>
      </c>
      <c r="ER23" s="78">
        <v>1</v>
      </c>
      <c r="ES23" s="78">
        <v>1</v>
      </c>
      <c r="ET23" s="74">
        <v>1</v>
      </c>
      <c r="EU23" s="78">
        <v>1</v>
      </c>
      <c r="EV23" s="78">
        <v>1</v>
      </c>
      <c r="EW23" s="78">
        <v>1</v>
      </c>
      <c r="EX23" s="78">
        <v>1</v>
      </c>
      <c r="EY23" s="78">
        <v>1</v>
      </c>
      <c r="EZ23" s="78">
        <v>1</v>
      </c>
      <c r="FA23" s="78">
        <v>1</v>
      </c>
      <c r="FB23" s="78">
        <v>1</v>
      </c>
      <c r="FC23" s="78">
        <v>1</v>
      </c>
      <c r="FD23" s="78">
        <v>1</v>
      </c>
      <c r="FE23" s="78">
        <v>1</v>
      </c>
      <c r="FF23" s="78">
        <v>1</v>
      </c>
      <c r="FG23" s="78">
        <v>1</v>
      </c>
      <c r="FH23" s="78">
        <v>1</v>
      </c>
      <c r="FI23" s="78">
        <v>1</v>
      </c>
      <c r="FJ23" s="78">
        <v>1</v>
      </c>
      <c r="FK23" s="78">
        <v>1</v>
      </c>
      <c r="FL23" s="78">
        <v>1</v>
      </c>
      <c r="FM23" s="78">
        <v>1</v>
      </c>
      <c r="FN23" s="78">
        <v>1</v>
      </c>
      <c r="FO23" s="78">
        <v>1</v>
      </c>
      <c r="FP23" s="78">
        <v>1</v>
      </c>
      <c r="FQ23" s="78">
        <v>1</v>
      </c>
      <c r="FR23" s="74">
        <v>1</v>
      </c>
      <c r="FS23" s="78">
        <v>1</v>
      </c>
      <c r="FT23" s="78">
        <v>1</v>
      </c>
      <c r="FU23" s="78">
        <v>1</v>
      </c>
      <c r="FV23" s="78">
        <v>1</v>
      </c>
      <c r="FW23" s="78">
        <v>1</v>
      </c>
      <c r="FX23" s="78">
        <v>1</v>
      </c>
      <c r="FY23" s="78">
        <v>1</v>
      </c>
      <c r="FZ23" s="78">
        <v>1</v>
      </c>
      <c r="GA23" s="78">
        <v>1</v>
      </c>
      <c r="GB23" s="78">
        <v>1</v>
      </c>
      <c r="GC23" s="78">
        <v>1</v>
      </c>
      <c r="GD23" s="78">
        <v>1</v>
      </c>
      <c r="GE23" s="78">
        <v>1</v>
      </c>
      <c r="GF23" s="78">
        <v>1</v>
      </c>
      <c r="GG23" s="78">
        <v>1</v>
      </c>
      <c r="GH23" s="78">
        <v>1</v>
      </c>
      <c r="GI23" s="78">
        <v>1</v>
      </c>
      <c r="GJ23" s="78">
        <v>1</v>
      </c>
      <c r="GK23" s="78">
        <v>1</v>
      </c>
      <c r="GL23" s="78">
        <v>1</v>
      </c>
      <c r="GM23" s="78">
        <v>1</v>
      </c>
      <c r="GN23" s="78">
        <v>1</v>
      </c>
      <c r="GO23" s="78">
        <v>1</v>
      </c>
      <c r="GP23" s="74">
        <v>1</v>
      </c>
      <c r="GQ23" s="78">
        <v>1</v>
      </c>
      <c r="GR23" s="78">
        <v>1</v>
      </c>
      <c r="GS23" s="78">
        <v>1</v>
      </c>
      <c r="GT23" s="78">
        <v>1</v>
      </c>
      <c r="GU23" s="78">
        <v>1</v>
      </c>
      <c r="GV23" s="78">
        <v>1</v>
      </c>
      <c r="GW23" s="78">
        <v>1</v>
      </c>
      <c r="GX23" s="78">
        <v>1</v>
      </c>
      <c r="GY23" s="78">
        <v>1</v>
      </c>
      <c r="GZ23" s="78">
        <v>1</v>
      </c>
      <c r="HA23" s="78">
        <v>1</v>
      </c>
      <c r="HB23" s="78">
        <v>1</v>
      </c>
      <c r="HC23" s="78">
        <v>1</v>
      </c>
      <c r="HD23" s="78">
        <v>1</v>
      </c>
      <c r="HE23" s="74">
        <v>1</v>
      </c>
      <c r="HF23" s="74">
        <v>1</v>
      </c>
      <c r="HG23" s="74">
        <v>1</v>
      </c>
      <c r="HH23" s="74">
        <v>1</v>
      </c>
      <c r="HI23" s="74">
        <v>1</v>
      </c>
      <c r="HJ23" s="74">
        <v>1</v>
      </c>
      <c r="HK23" s="74">
        <v>1</v>
      </c>
      <c r="HL23" s="74">
        <v>1</v>
      </c>
      <c r="HM23" s="74">
        <v>1</v>
      </c>
      <c r="HN23" s="74">
        <v>1</v>
      </c>
      <c r="HO23" s="74">
        <v>1</v>
      </c>
      <c r="HP23" s="74">
        <v>1</v>
      </c>
      <c r="HQ23" s="74">
        <v>1</v>
      </c>
      <c r="HR23" s="74">
        <v>1</v>
      </c>
      <c r="HS23" s="74">
        <v>1</v>
      </c>
      <c r="HT23" s="74">
        <v>1</v>
      </c>
      <c r="HU23" s="74">
        <v>1</v>
      </c>
      <c r="HV23" s="74">
        <v>1</v>
      </c>
      <c r="HW23" s="74">
        <v>1</v>
      </c>
      <c r="HX23" s="75">
        <v>1</v>
      </c>
    </row>
    <row r="24" spans="1:232" x14ac:dyDescent="0.2">
      <c r="B24" s="80" t="s">
        <v>70</v>
      </c>
      <c r="C24" s="80" t="s">
        <v>131</v>
      </c>
      <c r="D24" s="81">
        <v>5.2</v>
      </c>
      <c r="E24" s="80" t="s">
        <v>128</v>
      </c>
      <c r="F24" s="80" t="s">
        <v>122</v>
      </c>
      <c r="G24" s="78">
        <v>1</v>
      </c>
      <c r="H24" s="78">
        <v>1</v>
      </c>
      <c r="I24" s="78">
        <v>1</v>
      </c>
      <c r="J24" s="78">
        <v>1</v>
      </c>
      <c r="K24" s="78">
        <v>1</v>
      </c>
      <c r="L24" s="78">
        <v>1</v>
      </c>
      <c r="M24" s="78">
        <v>1</v>
      </c>
      <c r="N24" s="78">
        <v>1</v>
      </c>
      <c r="O24" s="78">
        <v>1</v>
      </c>
      <c r="P24" s="78">
        <v>1</v>
      </c>
      <c r="Q24" s="78">
        <v>1</v>
      </c>
      <c r="R24" s="78">
        <v>1</v>
      </c>
      <c r="S24" s="78">
        <v>1</v>
      </c>
      <c r="T24" s="78">
        <v>1</v>
      </c>
      <c r="U24" s="78">
        <v>1</v>
      </c>
      <c r="V24" s="78">
        <v>1</v>
      </c>
      <c r="W24" s="78">
        <v>1</v>
      </c>
      <c r="X24" s="78">
        <v>1</v>
      </c>
      <c r="Y24" s="78">
        <v>1</v>
      </c>
      <c r="Z24" s="78">
        <v>1</v>
      </c>
      <c r="AA24" s="78">
        <v>1</v>
      </c>
      <c r="AB24" s="78">
        <v>1</v>
      </c>
      <c r="AC24" s="78">
        <v>1</v>
      </c>
      <c r="AD24" s="74">
        <v>1</v>
      </c>
      <c r="AE24" s="78">
        <v>1</v>
      </c>
      <c r="AF24" s="78">
        <v>1</v>
      </c>
      <c r="AG24" s="78">
        <v>1</v>
      </c>
      <c r="AH24" s="78">
        <v>1</v>
      </c>
      <c r="AI24" s="78">
        <v>1</v>
      </c>
      <c r="AJ24" s="78">
        <v>1</v>
      </c>
      <c r="AK24" s="78">
        <v>1</v>
      </c>
      <c r="AL24" s="78">
        <v>1</v>
      </c>
      <c r="AM24" s="78">
        <v>1</v>
      </c>
      <c r="AN24" s="78">
        <v>1</v>
      </c>
      <c r="AO24" s="78">
        <v>1</v>
      </c>
      <c r="AP24" s="78">
        <v>1</v>
      </c>
      <c r="AQ24" s="78">
        <v>1</v>
      </c>
      <c r="AR24" s="78">
        <v>1</v>
      </c>
      <c r="AS24" s="78">
        <v>1</v>
      </c>
      <c r="AT24" s="78">
        <v>1</v>
      </c>
      <c r="AU24" s="78">
        <v>1</v>
      </c>
      <c r="AV24" s="78">
        <v>1</v>
      </c>
      <c r="AW24" s="78">
        <v>1</v>
      </c>
      <c r="AX24" s="78">
        <v>1</v>
      </c>
      <c r="AY24" s="78">
        <v>1</v>
      </c>
      <c r="AZ24" s="78">
        <v>1</v>
      </c>
      <c r="BA24" s="78">
        <v>1</v>
      </c>
      <c r="BB24" s="74">
        <v>1</v>
      </c>
      <c r="BC24" s="78">
        <v>1</v>
      </c>
      <c r="BD24" s="78">
        <v>1</v>
      </c>
      <c r="BE24" s="78">
        <v>1</v>
      </c>
      <c r="BF24" s="78">
        <v>1</v>
      </c>
      <c r="BG24" s="78">
        <v>1</v>
      </c>
      <c r="BH24" s="78">
        <v>1</v>
      </c>
      <c r="BI24" s="78">
        <v>1</v>
      </c>
      <c r="BJ24" s="78">
        <v>1</v>
      </c>
      <c r="BK24" s="78">
        <v>1</v>
      </c>
      <c r="BL24" s="78">
        <v>1</v>
      </c>
      <c r="BM24" s="78">
        <v>1</v>
      </c>
      <c r="BN24" s="78">
        <v>1</v>
      </c>
      <c r="BO24" s="78">
        <v>1</v>
      </c>
      <c r="BP24" s="78">
        <v>1</v>
      </c>
      <c r="BQ24" s="78">
        <v>1</v>
      </c>
      <c r="BR24" s="78">
        <v>1</v>
      </c>
      <c r="BS24" s="78">
        <v>1</v>
      </c>
      <c r="BT24" s="78">
        <v>1</v>
      </c>
      <c r="BU24" s="78">
        <v>1</v>
      </c>
      <c r="BV24" s="78">
        <v>1</v>
      </c>
      <c r="BW24" s="78">
        <v>1</v>
      </c>
      <c r="BX24" s="78">
        <v>1</v>
      </c>
      <c r="BY24" s="78">
        <v>1</v>
      </c>
      <c r="BZ24" s="74">
        <v>1</v>
      </c>
      <c r="CA24" s="78">
        <v>1</v>
      </c>
      <c r="CB24" s="78">
        <v>1</v>
      </c>
      <c r="CC24" s="78">
        <v>1</v>
      </c>
      <c r="CD24" s="78">
        <v>1</v>
      </c>
      <c r="CE24" s="78">
        <v>1</v>
      </c>
      <c r="CF24" s="78">
        <v>1</v>
      </c>
      <c r="CG24" s="78">
        <v>1</v>
      </c>
      <c r="CH24" s="78">
        <v>1</v>
      </c>
      <c r="CI24" s="78">
        <v>1</v>
      </c>
      <c r="CJ24" s="78">
        <v>1</v>
      </c>
      <c r="CK24" s="78">
        <v>1</v>
      </c>
      <c r="CL24" s="78">
        <v>1</v>
      </c>
      <c r="CM24" s="78">
        <v>1</v>
      </c>
      <c r="CN24" s="78">
        <v>1</v>
      </c>
      <c r="CO24" s="78">
        <v>1</v>
      </c>
      <c r="CP24" s="78">
        <v>1</v>
      </c>
      <c r="CQ24" s="78">
        <v>1</v>
      </c>
      <c r="CR24" s="78">
        <v>1</v>
      </c>
      <c r="CS24" s="78">
        <v>1</v>
      </c>
      <c r="CT24" s="78">
        <v>1</v>
      </c>
      <c r="CU24" s="78">
        <v>1</v>
      </c>
      <c r="CV24" s="78">
        <v>1</v>
      </c>
      <c r="CW24" s="78">
        <v>1</v>
      </c>
      <c r="CX24" s="74">
        <v>1</v>
      </c>
      <c r="CY24" s="78">
        <v>1</v>
      </c>
      <c r="CZ24" s="78">
        <v>1</v>
      </c>
      <c r="DA24" s="78">
        <v>1</v>
      </c>
      <c r="DB24" s="78">
        <v>1</v>
      </c>
      <c r="DC24" s="78">
        <v>1</v>
      </c>
      <c r="DD24" s="78">
        <v>1</v>
      </c>
      <c r="DE24" s="78">
        <v>1</v>
      </c>
      <c r="DF24" s="78">
        <v>1</v>
      </c>
      <c r="DG24" s="78">
        <v>1</v>
      </c>
      <c r="DH24" s="78">
        <v>1</v>
      </c>
      <c r="DI24" s="78">
        <v>1</v>
      </c>
      <c r="DJ24" s="78">
        <v>1</v>
      </c>
      <c r="DK24" s="78">
        <v>1</v>
      </c>
      <c r="DL24" s="78">
        <v>1</v>
      </c>
      <c r="DM24" s="78">
        <v>1</v>
      </c>
      <c r="DN24" s="78">
        <v>1</v>
      </c>
      <c r="DO24" s="78">
        <v>1</v>
      </c>
      <c r="DP24" s="78">
        <v>1</v>
      </c>
      <c r="DQ24" s="78">
        <v>1</v>
      </c>
      <c r="DR24" s="78">
        <v>1</v>
      </c>
      <c r="DS24" s="78">
        <v>1</v>
      </c>
      <c r="DT24" s="78">
        <v>1</v>
      </c>
      <c r="DU24" s="78">
        <v>1</v>
      </c>
      <c r="DV24" s="74">
        <v>1</v>
      </c>
      <c r="DW24" s="78">
        <v>1</v>
      </c>
      <c r="DX24" s="78">
        <v>1</v>
      </c>
      <c r="DY24" s="78">
        <v>1</v>
      </c>
      <c r="DZ24" s="78">
        <v>1</v>
      </c>
      <c r="EA24" s="78">
        <v>1</v>
      </c>
      <c r="EB24" s="78">
        <v>1</v>
      </c>
      <c r="EC24" s="78">
        <v>1</v>
      </c>
      <c r="ED24" s="78">
        <v>1</v>
      </c>
      <c r="EE24" s="78">
        <v>1</v>
      </c>
      <c r="EF24" s="78">
        <v>1</v>
      </c>
      <c r="EG24" s="78">
        <v>1</v>
      </c>
      <c r="EH24" s="78">
        <v>1</v>
      </c>
      <c r="EI24" s="78">
        <v>1</v>
      </c>
      <c r="EJ24" s="78">
        <v>1</v>
      </c>
      <c r="EK24" s="78">
        <v>1</v>
      </c>
      <c r="EL24" s="78">
        <v>1</v>
      </c>
      <c r="EM24" s="78">
        <v>1</v>
      </c>
      <c r="EN24" s="78">
        <v>1</v>
      </c>
      <c r="EO24" s="78">
        <v>1</v>
      </c>
      <c r="EP24" s="78">
        <v>1</v>
      </c>
      <c r="EQ24" s="78">
        <v>1</v>
      </c>
      <c r="ER24" s="78">
        <v>1</v>
      </c>
      <c r="ES24" s="78">
        <v>1</v>
      </c>
      <c r="ET24" s="74">
        <v>1</v>
      </c>
      <c r="EU24" s="78">
        <v>1</v>
      </c>
      <c r="EV24" s="78">
        <v>1</v>
      </c>
      <c r="EW24" s="78">
        <v>1</v>
      </c>
      <c r="EX24" s="78">
        <v>1</v>
      </c>
      <c r="EY24" s="78">
        <v>1</v>
      </c>
      <c r="EZ24" s="78">
        <v>1</v>
      </c>
      <c r="FA24" s="78">
        <v>1</v>
      </c>
      <c r="FB24" s="78">
        <v>1</v>
      </c>
      <c r="FC24" s="78">
        <v>1</v>
      </c>
      <c r="FD24" s="78">
        <v>1</v>
      </c>
      <c r="FE24" s="78">
        <v>1</v>
      </c>
      <c r="FF24" s="78">
        <v>1</v>
      </c>
      <c r="FG24" s="78">
        <v>1</v>
      </c>
      <c r="FH24" s="78">
        <v>1</v>
      </c>
      <c r="FI24" s="78">
        <v>1</v>
      </c>
      <c r="FJ24" s="78">
        <v>1</v>
      </c>
      <c r="FK24" s="78">
        <v>1</v>
      </c>
      <c r="FL24" s="78">
        <v>1</v>
      </c>
      <c r="FM24" s="78">
        <v>1</v>
      </c>
      <c r="FN24" s="78">
        <v>1</v>
      </c>
      <c r="FO24" s="78">
        <v>1</v>
      </c>
      <c r="FP24" s="78">
        <v>1</v>
      </c>
      <c r="FQ24" s="78">
        <v>1</v>
      </c>
      <c r="FR24" s="74">
        <v>1</v>
      </c>
      <c r="FS24" s="78">
        <v>1</v>
      </c>
      <c r="FT24" s="78">
        <v>1</v>
      </c>
      <c r="FU24" s="78">
        <v>1</v>
      </c>
      <c r="FV24" s="78">
        <v>1</v>
      </c>
      <c r="FW24" s="78">
        <v>1</v>
      </c>
      <c r="FX24" s="78">
        <v>1</v>
      </c>
      <c r="FY24" s="78">
        <v>1</v>
      </c>
      <c r="FZ24" s="78">
        <v>1</v>
      </c>
      <c r="GA24" s="78">
        <v>1</v>
      </c>
      <c r="GB24" s="78">
        <v>1</v>
      </c>
      <c r="GC24" s="78">
        <v>1</v>
      </c>
      <c r="GD24" s="78">
        <v>1</v>
      </c>
      <c r="GE24" s="78">
        <v>1</v>
      </c>
      <c r="GF24" s="78">
        <v>1</v>
      </c>
      <c r="GG24" s="78">
        <v>1</v>
      </c>
      <c r="GH24" s="78">
        <v>1</v>
      </c>
      <c r="GI24" s="78">
        <v>1</v>
      </c>
      <c r="GJ24" s="78">
        <v>1</v>
      </c>
      <c r="GK24" s="78">
        <v>1</v>
      </c>
      <c r="GL24" s="78">
        <v>1</v>
      </c>
      <c r="GM24" s="78">
        <v>1</v>
      </c>
      <c r="GN24" s="78">
        <v>1</v>
      </c>
      <c r="GO24" s="78">
        <v>1</v>
      </c>
      <c r="GP24" s="74">
        <v>1</v>
      </c>
      <c r="GQ24" s="78">
        <v>1</v>
      </c>
      <c r="GR24" s="78">
        <v>1</v>
      </c>
      <c r="GS24" s="78">
        <v>1</v>
      </c>
      <c r="GT24" s="78">
        <v>1</v>
      </c>
      <c r="GU24" s="78">
        <v>1</v>
      </c>
      <c r="GV24" s="78">
        <v>1</v>
      </c>
      <c r="GW24" s="78">
        <v>1</v>
      </c>
      <c r="GX24" s="78">
        <v>1</v>
      </c>
      <c r="GY24" s="78">
        <v>1</v>
      </c>
      <c r="GZ24" s="78">
        <v>1</v>
      </c>
      <c r="HA24" s="78">
        <v>1</v>
      </c>
      <c r="HB24" s="78">
        <v>1</v>
      </c>
      <c r="HC24" s="78">
        <v>1</v>
      </c>
      <c r="HD24" s="78">
        <v>1</v>
      </c>
      <c r="HE24" s="74">
        <v>1</v>
      </c>
      <c r="HF24" s="74">
        <v>1</v>
      </c>
      <c r="HG24" s="74">
        <v>1</v>
      </c>
      <c r="HH24" s="74">
        <v>1</v>
      </c>
      <c r="HI24" s="74">
        <v>1</v>
      </c>
      <c r="HJ24" s="74">
        <v>1</v>
      </c>
      <c r="HK24" s="74">
        <v>1</v>
      </c>
      <c r="HL24" s="74">
        <v>1</v>
      </c>
      <c r="HM24" s="74">
        <v>1</v>
      </c>
      <c r="HN24" s="74">
        <v>1</v>
      </c>
      <c r="HO24" s="74">
        <v>1</v>
      </c>
      <c r="HP24" s="74">
        <v>1</v>
      </c>
      <c r="HQ24" s="74">
        <v>1</v>
      </c>
      <c r="HR24" s="74">
        <v>1</v>
      </c>
      <c r="HS24" s="74">
        <v>1</v>
      </c>
      <c r="HT24" s="74">
        <v>1</v>
      </c>
      <c r="HU24" s="74">
        <v>1</v>
      </c>
      <c r="HV24" s="74">
        <v>1</v>
      </c>
      <c r="HW24" s="74">
        <v>1</v>
      </c>
      <c r="HX24" s="75">
        <v>1</v>
      </c>
    </row>
    <row r="25" spans="1:232" x14ac:dyDescent="0.2">
      <c r="B25" s="82" t="s">
        <v>71</v>
      </c>
      <c r="C25" s="80" t="s">
        <v>131</v>
      </c>
      <c r="D25" s="81">
        <v>5.2</v>
      </c>
      <c r="E25" s="80" t="s">
        <v>128</v>
      </c>
      <c r="F25" s="80" t="s">
        <v>123</v>
      </c>
      <c r="G25" s="78">
        <v>0</v>
      </c>
      <c r="H25" s="74">
        <v>0</v>
      </c>
      <c r="I25" s="74">
        <v>0</v>
      </c>
      <c r="J25" s="74">
        <v>0</v>
      </c>
      <c r="K25" s="74">
        <v>0</v>
      </c>
      <c r="L25" s="74">
        <v>0</v>
      </c>
      <c r="M25" s="74">
        <v>0</v>
      </c>
      <c r="N25" s="74">
        <v>0</v>
      </c>
      <c r="O25" s="74">
        <v>0</v>
      </c>
      <c r="P25" s="74">
        <v>0</v>
      </c>
      <c r="Q25" s="74">
        <v>0</v>
      </c>
      <c r="R25" s="74">
        <v>0</v>
      </c>
      <c r="S25" s="74">
        <v>0</v>
      </c>
      <c r="T25" s="74">
        <v>0</v>
      </c>
      <c r="U25" s="74">
        <v>0</v>
      </c>
      <c r="V25" s="74">
        <v>0</v>
      </c>
      <c r="W25" s="74">
        <v>0</v>
      </c>
      <c r="X25" s="74">
        <v>0</v>
      </c>
      <c r="Y25" s="74">
        <v>0</v>
      </c>
      <c r="Z25" s="74">
        <v>0</v>
      </c>
      <c r="AA25" s="74">
        <v>0</v>
      </c>
      <c r="AB25" s="74">
        <v>0</v>
      </c>
      <c r="AC25" s="74">
        <v>0</v>
      </c>
      <c r="AD25" s="74">
        <v>0</v>
      </c>
      <c r="AE25" s="78">
        <v>0</v>
      </c>
      <c r="AF25" s="74">
        <v>0</v>
      </c>
      <c r="AG25" s="74">
        <v>0</v>
      </c>
      <c r="AH25" s="74">
        <v>0</v>
      </c>
      <c r="AI25" s="74">
        <v>0</v>
      </c>
      <c r="AJ25" s="74">
        <v>0</v>
      </c>
      <c r="AK25" s="74">
        <v>0</v>
      </c>
      <c r="AL25" s="74">
        <v>0</v>
      </c>
      <c r="AM25" s="74">
        <v>0</v>
      </c>
      <c r="AN25" s="74">
        <v>0</v>
      </c>
      <c r="AO25" s="74">
        <v>0</v>
      </c>
      <c r="AP25" s="74">
        <v>0</v>
      </c>
      <c r="AQ25" s="74">
        <v>0</v>
      </c>
      <c r="AR25" s="74">
        <v>0</v>
      </c>
      <c r="AS25" s="74">
        <v>0</v>
      </c>
      <c r="AT25" s="74">
        <v>0</v>
      </c>
      <c r="AU25" s="74">
        <v>0</v>
      </c>
      <c r="AV25" s="74">
        <v>0</v>
      </c>
      <c r="AW25" s="74">
        <v>0</v>
      </c>
      <c r="AX25" s="74">
        <v>0</v>
      </c>
      <c r="AY25" s="74">
        <v>0</v>
      </c>
      <c r="AZ25" s="74">
        <v>0</v>
      </c>
      <c r="BA25" s="74">
        <v>0</v>
      </c>
      <c r="BB25" s="74">
        <v>0</v>
      </c>
      <c r="BC25" s="78">
        <v>0</v>
      </c>
      <c r="BD25" s="74">
        <v>0</v>
      </c>
      <c r="BE25" s="74">
        <v>0</v>
      </c>
      <c r="BF25" s="74">
        <v>0</v>
      </c>
      <c r="BG25" s="74">
        <v>0</v>
      </c>
      <c r="BH25" s="74">
        <v>0</v>
      </c>
      <c r="BI25" s="74">
        <v>0</v>
      </c>
      <c r="BJ25" s="74">
        <v>0</v>
      </c>
      <c r="BK25" s="74">
        <v>0</v>
      </c>
      <c r="BL25" s="74">
        <v>0</v>
      </c>
      <c r="BM25" s="74">
        <v>0</v>
      </c>
      <c r="BN25" s="74">
        <v>0</v>
      </c>
      <c r="BO25" s="74">
        <v>0</v>
      </c>
      <c r="BP25" s="74">
        <v>0</v>
      </c>
      <c r="BQ25" s="74">
        <v>0</v>
      </c>
      <c r="BR25" s="74">
        <v>0</v>
      </c>
      <c r="BS25" s="74">
        <v>0</v>
      </c>
      <c r="BT25" s="74">
        <v>0</v>
      </c>
      <c r="BU25" s="74">
        <v>0</v>
      </c>
      <c r="BV25" s="74">
        <v>0</v>
      </c>
      <c r="BW25" s="74">
        <v>0</v>
      </c>
      <c r="BX25" s="74">
        <v>0</v>
      </c>
      <c r="BY25" s="74">
        <v>0</v>
      </c>
      <c r="BZ25" s="74">
        <v>0</v>
      </c>
      <c r="CA25" s="78">
        <v>0</v>
      </c>
      <c r="CB25" s="74">
        <v>0</v>
      </c>
      <c r="CC25" s="74">
        <v>0</v>
      </c>
      <c r="CD25" s="74">
        <v>0</v>
      </c>
      <c r="CE25" s="74">
        <v>0</v>
      </c>
      <c r="CF25" s="74">
        <v>0</v>
      </c>
      <c r="CG25" s="74">
        <v>0</v>
      </c>
      <c r="CH25" s="74">
        <v>0</v>
      </c>
      <c r="CI25" s="74">
        <v>0</v>
      </c>
      <c r="CJ25" s="74">
        <v>0</v>
      </c>
      <c r="CK25" s="74">
        <v>0</v>
      </c>
      <c r="CL25" s="74">
        <v>0</v>
      </c>
      <c r="CM25" s="74">
        <v>0</v>
      </c>
      <c r="CN25" s="74">
        <v>0</v>
      </c>
      <c r="CO25" s="74">
        <v>0</v>
      </c>
      <c r="CP25" s="74">
        <v>0</v>
      </c>
      <c r="CQ25" s="74">
        <v>0</v>
      </c>
      <c r="CR25" s="74">
        <v>0</v>
      </c>
      <c r="CS25" s="74">
        <v>0</v>
      </c>
      <c r="CT25" s="74">
        <v>0</v>
      </c>
      <c r="CU25" s="74">
        <v>0</v>
      </c>
      <c r="CV25" s="74">
        <v>0</v>
      </c>
      <c r="CW25" s="74">
        <v>0</v>
      </c>
      <c r="CX25" s="74">
        <v>0</v>
      </c>
      <c r="CY25" s="78">
        <v>0</v>
      </c>
      <c r="CZ25" s="74">
        <v>0</v>
      </c>
      <c r="DA25" s="74">
        <v>0</v>
      </c>
      <c r="DB25" s="74">
        <v>0</v>
      </c>
      <c r="DC25" s="74">
        <v>0</v>
      </c>
      <c r="DD25" s="74">
        <v>0</v>
      </c>
      <c r="DE25" s="74">
        <v>0</v>
      </c>
      <c r="DF25" s="74">
        <v>0</v>
      </c>
      <c r="DG25" s="74">
        <v>0</v>
      </c>
      <c r="DH25" s="74">
        <v>0</v>
      </c>
      <c r="DI25" s="74">
        <v>0</v>
      </c>
      <c r="DJ25" s="74">
        <v>0</v>
      </c>
      <c r="DK25" s="74">
        <v>0</v>
      </c>
      <c r="DL25" s="74">
        <v>0</v>
      </c>
      <c r="DM25" s="74">
        <v>0</v>
      </c>
      <c r="DN25" s="74">
        <v>0</v>
      </c>
      <c r="DO25" s="74">
        <v>0</v>
      </c>
      <c r="DP25" s="74">
        <v>0</v>
      </c>
      <c r="DQ25" s="74">
        <v>0</v>
      </c>
      <c r="DR25" s="74">
        <v>0</v>
      </c>
      <c r="DS25" s="74">
        <v>0</v>
      </c>
      <c r="DT25" s="74">
        <v>0</v>
      </c>
      <c r="DU25" s="74">
        <v>0</v>
      </c>
      <c r="DV25" s="74">
        <v>0</v>
      </c>
      <c r="DW25" s="78">
        <v>0</v>
      </c>
      <c r="DX25" s="74">
        <v>0</v>
      </c>
      <c r="DY25" s="74">
        <v>0</v>
      </c>
      <c r="DZ25" s="74">
        <v>0</v>
      </c>
      <c r="EA25" s="74">
        <v>0</v>
      </c>
      <c r="EB25" s="74">
        <v>0</v>
      </c>
      <c r="EC25" s="74">
        <v>0</v>
      </c>
      <c r="ED25" s="74">
        <v>0</v>
      </c>
      <c r="EE25" s="74">
        <v>0</v>
      </c>
      <c r="EF25" s="74">
        <v>0</v>
      </c>
      <c r="EG25" s="74">
        <v>0</v>
      </c>
      <c r="EH25" s="74">
        <v>0</v>
      </c>
      <c r="EI25" s="74">
        <v>0</v>
      </c>
      <c r="EJ25" s="74">
        <v>0</v>
      </c>
      <c r="EK25" s="74">
        <v>0</v>
      </c>
      <c r="EL25" s="74">
        <v>0</v>
      </c>
      <c r="EM25" s="74">
        <v>0</v>
      </c>
      <c r="EN25" s="74">
        <v>0</v>
      </c>
      <c r="EO25" s="74">
        <v>0</v>
      </c>
      <c r="EP25" s="74">
        <v>0</v>
      </c>
      <c r="EQ25" s="74">
        <v>0</v>
      </c>
      <c r="ER25" s="74">
        <v>0</v>
      </c>
      <c r="ES25" s="74">
        <v>0</v>
      </c>
      <c r="ET25" s="74">
        <v>0</v>
      </c>
      <c r="EU25" s="78">
        <v>0</v>
      </c>
      <c r="EV25" s="74">
        <v>0</v>
      </c>
      <c r="EW25" s="74">
        <v>0</v>
      </c>
      <c r="EX25" s="74">
        <v>0</v>
      </c>
      <c r="EY25" s="74">
        <v>0</v>
      </c>
      <c r="EZ25" s="74">
        <v>0</v>
      </c>
      <c r="FA25" s="74">
        <v>0</v>
      </c>
      <c r="FB25" s="74">
        <v>0</v>
      </c>
      <c r="FC25" s="74">
        <v>0</v>
      </c>
      <c r="FD25" s="74">
        <v>0</v>
      </c>
      <c r="FE25" s="74">
        <v>0</v>
      </c>
      <c r="FF25" s="74">
        <v>0</v>
      </c>
      <c r="FG25" s="74">
        <v>0</v>
      </c>
      <c r="FH25" s="74">
        <v>0</v>
      </c>
      <c r="FI25" s="74">
        <v>0</v>
      </c>
      <c r="FJ25" s="74">
        <v>0</v>
      </c>
      <c r="FK25" s="74">
        <v>0</v>
      </c>
      <c r="FL25" s="74">
        <v>0</v>
      </c>
      <c r="FM25" s="74">
        <v>0</v>
      </c>
      <c r="FN25" s="74">
        <v>0</v>
      </c>
      <c r="FO25" s="74">
        <v>0</v>
      </c>
      <c r="FP25" s="74">
        <v>0</v>
      </c>
      <c r="FQ25" s="74">
        <v>0</v>
      </c>
      <c r="FR25" s="74">
        <v>0</v>
      </c>
      <c r="FS25" s="78">
        <v>0</v>
      </c>
      <c r="FT25" s="74">
        <v>0</v>
      </c>
      <c r="FU25" s="74">
        <v>0</v>
      </c>
      <c r="FV25" s="74">
        <v>0</v>
      </c>
      <c r="FW25" s="74">
        <v>0</v>
      </c>
      <c r="FX25" s="74">
        <v>0</v>
      </c>
      <c r="FY25" s="74">
        <v>0</v>
      </c>
      <c r="FZ25" s="74">
        <v>0</v>
      </c>
      <c r="GA25" s="74">
        <v>0</v>
      </c>
      <c r="GB25" s="74">
        <v>0</v>
      </c>
      <c r="GC25" s="74">
        <v>0</v>
      </c>
      <c r="GD25" s="74">
        <v>0</v>
      </c>
      <c r="GE25" s="74">
        <v>0</v>
      </c>
      <c r="GF25" s="74">
        <v>0</v>
      </c>
      <c r="GG25" s="74">
        <v>0</v>
      </c>
      <c r="GH25" s="74">
        <v>0</v>
      </c>
      <c r="GI25" s="74">
        <v>0</v>
      </c>
      <c r="GJ25" s="74">
        <v>0</v>
      </c>
      <c r="GK25" s="74">
        <v>0</v>
      </c>
      <c r="GL25" s="74">
        <v>0</v>
      </c>
      <c r="GM25" s="74">
        <v>0</v>
      </c>
      <c r="GN25" s="74">
        <v>0</v>
      </c>
      <c r="GO25" s="74">
        <v>0</v>
      </c>
      <c r="GP25" s="74">
        <v>0</v>
      </c>
      <c r="GQ25" s="78">
        <v>0</v>
      </c>
      <c r="GR25" s="74">
        <v>0</v>
      </c>
      <c r="GS25" s="74">
        <v>0</v>
      </c>
      <c r="GT25" s="74">
        <v>0</v>
      </c>
      <c r="GU25" s="74">
        <v>0</v>
      </c>
      <c r="GV25" s="74">
        <v>0</v>
      </c>
      <c r="GW25" s="74">
        <v>0</v>
      </c>
      <c r="GX25" s="74">
        <v>0</v>
      </c>
      <c r="GY25" s="74">
        <v>0</v>
      </c>
      <c r="GZ25" s="74">
        <v>0</v>
      </c>
      <c r="HA25" s="74">
        <v>0</v>
      </c>
      <c r="HB25" s="74">
        <v>0</v>
      </c>
      <c r="HC25" s="74">
        <v>0</v>
      </c>
      <c r="HD25" s="74">
        <v>0</v>
      </c>
      <c r="HE25" s="74">
        <v>0</v>
      </c>
      <c r="HF25" s="74">
        <v>0</v>
      </c>
      <c r="HG25" s="74">
        <v>0</v>
      </c>
      <c r="HH25" s="74">
        <v>0</v>
      </c>
      <c r="HI25" s="74">
        <v>0</v>
      </c>
      <c r="HJ25" s="74">
        <v>0</v>
      </c>
      <c r="HK25" s="74">
        <v>0</v>
      </c>
      <c r="HL25" s="74">
        <v>0</v>
      </c>
      <c r="HM25" s="74">
        <v>0</v>
      </c>
      <c r="HN25" s="74">
        <v>0</v>
      </c>
      <c r="HO25" s="74">
        <v>0</v>
      </c>
      <c r="HP25" s="74">
        <v>0</v>
      </c>
      <c r="HQ25" s="74">
        <v>0</v>
      </c>
      <c r="HR25" s="74">
        <v>0</v>
      </c>
      <c r="HS25" s="74">
        <v>0</v>
      </c>
      <c r="HT25" s="74">
        <v>0</v>
      </c>
      <c r="HU25" s="74">
        <v>0</v>
      </c>
      <c r="HV25" s="74">
        <v>0</v>
      </c>
      <c r="HW25" s="74">
        <v>0</v>
      </c>
      <c r="HX25" s="75">
        <v>0</v>
      </c>
    </row>
    <row r="26" spans="1:232" x14ac:dyDescent="0.2">
      <c r="B26" s="82" t="s">
        <v>72</v>
      </c>
      <c r="C26" s="80" t="s">
        <v>131</v>
      </c>
      <c r="D26" s="81">
        <v>5.2</v>
      </c>
      <c r="E26" s="80" t="s">
        <v>127</v>
      </c>
      <c r="F26" s="80" t="s">
        <v>123</v>
      </c>
      <c r="G26" s="78">
        <v>0</v>
      </c>
      <c r="H26" s="74">
        <v>0</v>
      </c>
      <c r="I26" s="74">
        <v>0</v>
      </c>
      <c r="J26" s="74">
        <v>0</v>
      </c>
      <c r="K26" s="74">
        <v>0</v>
      </c>
      <c r="L26" s="74">
        <v>0</v>
      </c>
      <c r="M26" s="74">
        <v>0</v>
      </c>
      <c r="N26" s="74">
        <v>0</v>
      </c>
      <c r="O26" s="74">
        <v>0</v>
      </c>
      <c r="P26" s="74">
        <v>0</v>
      </c>
      <c r="Q26" s="74">
        <v>0</v>
      </c>
      <c r="R26" s="74">
        <v>0</v>
      </c>
      <c r="S26" s="74">
        <v>0</v>
      </c>
      <c r="T26" s="74">
        <v>0</v>
      </c>
      <c r="U26" s="74">
        <v>0</v>
      </c>
      <c r="V26" s="74">
        <v>0</v>
      </c>
      <c r="W26" s="74">
        <v>0</v>
      </c>
      <c r="X26" s="74">
        <v>0</v>
      </c>
      <c r="Y26" s="74">
        <v>0</v>
      </c>
      <c r="Z26" s="74">
        <v>0</v>
      </c>
      <c r="AA26" s="74">
        <v>0</v>
      </c>
      <c r="AB26" s="74">
        <v>0</v>
      </c>
      <c r="AC26" s="74">
        <v>0</v>
      </c>
      <c r="AD26" s="74">
        <v>0</v>
      </c>
      <c r="AE26" s="78">
        <v>0</v>
      </c>
      <c r="AF26" s="74">
        <v>0</v>
      </c>
      <c r="AG26" s="74">
        <v>0</v>
      </c>
      <c r="AH26" s="74">
        <v>0</v>
      </c>
      <c r="AI26" s="74">
        <v>0</v>
      </c>
      <c r="AJ26" s="74">
        <v>0</v>
      </c>
      <c r="AK26" s="74">
        <v>0</v>
      </c>
      <c r="AL26" s="74">
        <v>0</v>
      </c>
      <c r="AM26" s="74">
        <v>0</v>
      </c>
      <c r="AN26" s="74">
        <v>0</v>
      </c>
      <c r="AO26" s="74">
        <v>0</v>
      </c>
      <c r="AP26" s="74">
        <v>0</v>
      </c>
      <c r="AQ26" s="74">
        <v>0</v>
      </c>
      <c r="AR26" s="74">
        <v>0</v>
      </c>
      <c r="AS26" s="74">
        <v>0</v>
      </c>
      <c r="AT26" s="74">
        <v>0</v>
      </c>
      <c r="AU26" s="74">
        <v>0</v>
      </c>
      <c r="AV26" s="74">
        <v>0</v>
      </c>
      <c r="AW26" s="74">
        <v>0</v>
      </c>
      <c r="AX26" s="74">
        <v>0</v>
      </c>
      <c r="AY26" s="74">
        <v>0</v>
      </c>
      <c r="AZ26" s="74">
        <v>0</v>
      </c>
      <c r="BA26" s="74">
        <v>1</v>
      </c>
      <c r="BB26" s="74">
        <v>1</v>
      </c>
      <c r="BC26" s="78">
        <v>1</v>
      </c>
      <c r="BD26" s="74">
        <v>1</v>
      </c>
      <c r="BE26" s="74">
        <v>1</v>
      </c>
      <c r="BF26" s="74">
        <v>1</v>
      </c>
      <c r="BG26" s="74">
        <v>1</v>
      </c>
      <c r="BH26" s="74">
        <v>1</v>
      </c>
      <c r="BI26" s="74">
        <v>1</v>
      </c>
      <c r="BJ26" s="74">
        <v>1</v>
      </c>
      <c r="BK26" s="74">
        <v>1</v>
      </c>
      <c r="BL26" s="74">
        <v>1</v>
      </c>
      <c r="BM26" s="74">
        <v>1</v>
      </c>
      <c r="BN26" s="74">
        <v>1</v>
      </c>
      <c r="BO26" s="74">
        <v>1</v>
      </c>
      <c r="BP26" s="74">
        <v>1</v>
      </c>
      <c r="BQ26" s="74">
        <v>1</v>
      </c>
      <c r="BR26" s="74">
        <v>1</v>
      </c>
      <c r="BS26" s="74">
        <v>1</v>
      </c>
      <c r="BT26" s="74">
        <v>1</v>
      </c>
      <c r="BU26" s="74">
        <v>1</v>
      </c>
      <c r="BV26" s="74">
        <v>1</v>
      </c>
      <c r="BW26" s="74">
        <v>1</v>
      </c>
      <c r="BX26" s="74">
        <v>1</v>
      </c>
      <c r="BY26" s="74">
        <v>1</v>
      </c>
      <c r="BZ26" s="74">
        <v>1</v>
      </c>
      <c r="CA26" s="78">
        <v>1</v>
      </c>
      <c r="CB26" s="74">
        <v>1</v>
      </c>
      <c r="CC26" s="74">
        <v>1</v>
      </c>
      <c r="CD26" s="74">
        <v>1</v>
      </c>
      <c r="CE26" s="74">
        <v>1</v>
      </c>
      <c r="CF26" s="74">
        <v>1</v>
      </c>
      <c r="CG26" s="74">
        <v>1</v>
      </c>
      <c r="CH26" s="74">
        <v>1</v>
      </c>
      <c r="CI26" s="74">
        <v>1</v>
      </c>
      <c r="CJ26" s="74">
        <v>1</v>
      </c>
      <c r="CK26" s="74">
        <v>1</v>
      </c>
      <c r="CL26" s="74">
        <v>1</v>
      </c>
      <c r="CM26" s="74">
        <v>1</v>
      </c>
      <c r="CN26" s="74">
        <v>1</v>
      </c>
      <c r="CO26" s="74">
        <v>1</v>
      </c>
      <c r="CP26" s="74">
        <v>1</v>
      </c>
      <c r="CQ26" s="74">
        <v>1</v>
      </c>
      <c r="CR26" s="74">
        <v>1</v>
      </c>
      <c r="CS26" s="74">
        <v>1</v>
      </c>
      <c r="CT26" s="74">
        <v>1</v>
      </c>
      <c r="CU26" s="74">
        <v>1</v>
      </c>
      <c r="CV26" s="74">
        <v>1</v>
      </c>
      <c r="CW26" s="74">
        <v>1</v>
      </c>
      <c r="CX26" s="74">
        <v>1</v>
      </c>
      <c r="CY26" s="78">
        <v>1</v>
      </c>
      <c r="CZ26" s="74">
        <v>1</v>
      </c>
      <c r="DA26" s="74">
        <v>1</v>
      </c>
      <c r="DB26" s="74">
        <v>1</v>
      </c>
      <c r="DC26" s="74">
        <v>1</v>
      </c>
      <c r="DD26" s="74">
        <v>1</v>
      </c>
      <c r="DE26" s="74">
        <v>1</v>
      </c>
      <c r="DF26" s="74">
        <v>1</v>
      </c>
      <c r="DG26" s="74">
        <v>1</v>
      </c>
      <c r="DH26" s="74">
        <v>1</v>
      </c>
      <c r="DI26" s="74">
        <v>1</v>
      </c>
      <c r="DJ26" s="74">
        <v>1</v>
      </c>
      <c r="DK26" s="74">
        <v>1</v>
      </c>
      <c r="DL26" s="74">
        <v>1</v>
      </c>
      <c r="DM26" s="74">
        <v>1</v>
      </c>
      <c r="DN26" s="74">
        <v>1</v>
      </c>
      <c r="DO26" s="74">
        <v>1</v>
      </c>
      <c r="DP26" s="74">
        <v>1</v>
      </c>
      <c r="DQ26" s="74">
        <v>1</v>
      </c>
      <c r="DR26" s="74">
        <v>1</v>
      </c>
      <c r="DS26" s="74">
        <v>1</v>
      </c>
      <c r="DT26" s="74">
        <v>1</v>
      </c>
      <c r="DU26" s="74">
        <v>1</v>
      </c>
      <c r="DV26" s="74">
        <v>1</v>
      </c>
      <c r="DW26" s="78">
        <v>1</v>
      </c>
      <c r="DX26" s="74">
        <v>1</v>
      </c>
      <c r="DY26" s="74">
        <v>1</v>
      </c>
      <c r="DZ26" s="74">
        <v>1</v>
      </c>
      <c r="EA26" s="74">
        <v>1</v>
      </c>
      <c r="EB26" s="74">
        <v>1</v>
      </c>
      <c r="EC26" s="74">
        <v>1</v>
      </c>
      <c r="ED26" s="74">
        <v>1</v>
      </c>
      <c r="EE26" s="74">
        <v>1</v>
      </c>
      <c r="EF26" s="74">
        <v>1</v>
      </c>
      <c r="EG26" s="74">
        <v>1</v>
      </c>
      <c r="EH26" s="74">
        <v>1</v>
      </c>
      <c r="EI26" s="74">
        <v>1</v>
      </c>
      <c r="EJ26" s="74">
        <v>1</v>
      </c>
      <c r="EK26" s="74">
        <v>1</v>
      </c>
      <c r="EL26" s="74">
        <v>1</v>
      </c>
      <c r="EM26" s="74">
        <v>1</v>
      </c>
      <c r="EN26" s="74">
        <v>1</v>
      </c>
      <c r="EO26" s="74">
        <v>1</v>
      </c>
      <c r="EP26" s="74">
        <v>1</v>
      </c>
      <c r="EQ26" s="74">
        <v>1</v>
      </c>
      <c r="ER26" s="74">
        <v>1</v>
      </c>
      <c r="ES26" s="74">
        <v>1</v>
      </c>
      <c r="ET26" s="74">
        <v>1</v>
      </c>
      <c r="EU26" s="78">
        <v>1</v>
      </c>
      <c r="EV26" s="74">
        <v>1</v>
      </c>
      <c r="EW26" s="74">
        <v>1</v>
      </c>
      <c r="EX26" s="74">
        <v>1</v>
      </c>
      <c r="EY26" s="74">
        <v>1</v>
      </c>
      <c r="EZ26" s="74">
        <v>1</v>
      </c>
      <c r="FA26" s="74">
        <v>1</v>
      </c>
      <c r="FB26" s="74">
        <v>1</v>
      </c>
      <c r="FC26" s="74">
        <v>1</v>
      </c>
      <c r="FD26" s="74">
        <v>1</v>
      </c>
      <c r="FE26" s="74">
        <v>1</v>
      </c>
      <c r="FF26" s="74">
        <v>1</v>
      </c>
      <c r="FG26" s="74">
        <v>1</v>
      </c>
      <c r="FH26" s="74">
        <v>1</v>
      </c>
      <c r="FI26" s="74">
        <v>1</v>
      </c>
      <c r="FJ26" s="74">
        <v>1</v>
      </c>
      <c r="FK26" s="74">
        <v>1</v>
      </c>
      <c r="FL26" s="74">
        <v>1</v>
      </c>
      <c r="FM26" s="74">
        <v>1</v>
      </c>
      <c r="FN26" s="74">
        <v>1</v>
      </c>
      <c r="FO26" s="74">
        <v>1</v>
      </c>
      <c r="FP26" s="74">
        <v>1</v>
      </c>
      <c r="FQ26" s="74">
        <v>1</v>
      </c>
      <c r="FR26" s="74">
        <v>1</v>
      </c>
      <c r="FS26" s="78">
        <v>1</v>
      </c>
      <c r="FT26" s="74">
        <v>1</v>
      </c>
      <c r="FU26" s="74">
        <v>1</v>
      </c>
      <c r="FV26" s="74">
        <v>1</v>
      </c>
      <c r="FW26" s="74">
        <v>1</v>
      </c>
      <c r="FX26" s="74">
        <v>1</v>
      </c>
      <c r="FY26" s="74">
        <v>1</v>
      </c>
      <c r="FZ26" s="74">
        <v>1</v>
      </c>
      <c r="GA26" s="74">
        <v>1</v>
      </c>
      <c r="GB26" s="74">
        <v>1</v>
      </c>
      <c r="GC26" s="74">
        <v>1</v>
      </c>
      <c r="GD26" s="74">
        <v>1</v>
      </c>
      <c r="GE26" s="74">
        <v>1</v>
      </c>
      <c r="GF26" s="74">
        <v>1</v>
      </c>
      <c r="GG26" s="74">
        <v>1</v>
      </c>
      <c r="GH26" s="74">
        <v>1</v>
      </c>
      <c r="GI26" s="74">
        <v>1</v>
      </c>
      <c r="GJ26" s="74">
        <v>1</v>
      </c>
      <c r="GK26" s="74">
        <v>1</v>
      </c>
      <c r="GL26" s="74">
        <v>1</v>
      </c>
      <c r="GM26" s="74">
        <v>1</v>
      </c>
      <c r="GN26" s="74">
        <v>1</v>
      </c>
      <c r="GO26" s="74">
        <v>1</v>
      </c>
      <c r="GP26" s="74">
        <v>1</v>
      </c>
      <c r="GQ26" s="78">
        <v>1</v>
      </c>
      <c r="GR26" s="74">
        <v>1</v>
      </c>
      <c r="GS26" s="74">
        <v>1</v>
      </c>
      <c r="GT26" s="74">
        <v>1</v>
      </c>
      <c r="GU26" s="74">
        <v>1</v>
      </c>
      <c r="GV26" s="74">
        <v>1</v>
      </c>
      <c r="GW26" s="74">
        <v>1</v>
      </c>
      <c r="GX26" s="74">
        <v>1</v>
      </c>
      <c r="GY26" s="74">
        <v>1</v>
      </c>
      <c r="GZ26" s="74">
        <v>1</v>
      </c>
      <c r="HA26" s="74">
        <v>1</v>
      </c>
      <c r="HB26" s="74">
        <v>1</v>
      </c>
      <c r="HC26" s="74">
        <v>1</v>
      </c>
      <c r="HD26" s="74">
        <v>1</v>
      </c>
      <c r="HE26" s="74">
        <v>1</v>
      </c>
      <c r="HF26" s="74">
        <v>1</v>
      </c>
      <c r="HG26" s="74">
        <v>1</v>
      </c>
      <c r="HH26" s="74">
        <v>1</v>
      </c>
      <c r="HI26" s="74">
        <v>1</v>
      </c>
      <c r="HJ26" s="74">
        <v>1</v>
      </c>
      <c r="HK26" s="74">
        <v>1</v>
      </c>
      <c r="HL26" s="74">
        <v>1</v>
      </c>
      <c r="HM26" s="74">
        <v>1</v>
      </c>
      <c r="HN26" s="74">
        <v>1</v>
      </c>
      <c r="HO26" s="74">
        <v>1</v>
      </c>
      <c r="HP26" s="74">
        <v>1</v>
      </c>
      <c r="HQ26" s="74">
        <v>1</v>
      </c>
      <c r="HR26" s="74">
        <v>1</v>
      </c>
      <c r="HS26" s="74">
        <v>1</v>
      </c>
      <c r="HT26" s="74">
        <v>1</v>
      </c>
      <c r="HU26" s="74">
        <v>1</v>
      </c>
      <c r="HV26" s="74">
        <v>1</v>
      </c>
      <c r="HW26" s="74">
        <v>1</v>
      </c>
      <c r="HX26" s="75">
        <v>1</v>
      </c>
    </row>
    <row r="27" spans="1:232" x14ac:dyDescent="0.2">
      <c r="B27" s="82" t="s">
        <v>73</v>
      </c>
      <c r="C27" s="80" t="s">
        <v>131</v>
      </c>
      <c r="D27" s="81">
        <v>5.2</v>
      </c>
      <c r="E27" s="80" t="s">
        <v>127</v>
      </c>
      <c r="F27" s="80" t="s">
        <v>123</v>
      </c>
      <c r="G27" s="78">
        <v>0</v>
      </c>
      <c r="H27" s="74">
        <v>0</v>
      </c>
      <c r="I27" s="74">
        <v>0</v>
      </c>
      <c r="J27" s="74">
        <v>0</v>
      </c>
      <c r="K27" s="74">
        <v>0</v>
      </c>
      <c r="L27" s="74">
        <v>0</v>
      </c>
      <c r="M27" s="74">
        <v>0</v>
      </c>
      <c r="N27" s="74">
        <v>0</v>
      </c>
      <c r="O27" s="74">
        <v>0</v>
      </c>
      <c r="P27" s="74">
        <v>0</v>
      </c>
      <c r="Q27" s="74">
        <v>0</v>
      </c>
      <c r="R27" s="74">
        <v>0</v>
      </c>
      <c r="S27" s="74">
        <v>0</v>
      </c>
      <c r="T27" s="74">
        <v>0</v>
      </c>
      <c r="U27" s="74">
        <v>0</v>
      </c>
      <c r="V27" s="74">
        <v>0</v>
      </c>
      <c r="W27" s="74">
        <v>0</v>
      </c>
      <c r="X27" s="74">
        <v>0</v>
      </c>
      <c r="Y27" s="74">
        <v>0</v>
      </c>
      <c r="Z27" s="74">
        <v>0</v>
      </c>
      <c r="AA27" s="74">
        <v>0</v>
      </c>
      <c r="AB27" s="74">
        <v>0</v>
      </c>
      <c r="AC27" s="74">
        <v>0</v>
      </c>
      <c r="AD27" s="74">
        <v>0</v>
      </c>
      <c r="AE27" s="78">
        <v>0</v>
      </c>
      <c r="AF27" s="74">
        <v>0</v>
      </c>
      <c r="AG27" s="74">
        <v>0</v>
      </c>
      <c r="AH27" s="74">
        <v>0</v>
      </c>
      <c r="AI27" s="74">
        <v>0</v>
      </c>
      <c r="AJ27" s="74">
        <v>0</v>
      </c>
      <c r="AK27" s="74">
        <v>0</v>
      </c>
      <c r="AL27" s="74">
        <v>0</v>
      </c>
      <c r="AM27" s="74">
        <v>0</v>
      </c>
      <c r="AN27" s="74">
        <v>0</v>
      </c>
      <c r="AO27" s="74">
        <v>0</v>
      </c>
      <c r="AP27" s="74">
        <v>0</v>
      </c>
      <c r="AQ27" s="74">
        <v>0</v>
      </c>
      <c r="AR27" s="74">
        <v>0</v>
      </c>
      <c r="AS27" s="74">
        <v>0</v>
      </c>
      <c r="AT27" s="74">
        <v>0</v>
      </c>
      <c r="AU27" s="74">
        <v>0</v>
      </c>
      <c r="AV27" s="74">
        <v>0</v>
      </c>
      <c r="AW27" s="74">
        <v>0</v>
      </c>
      <c r="AX27" s="74">
        <v>0</v>
      </c>
      <c r="AY27" s="74">
        <v>0</v>
      </c>
      <c r="AZ27" s="74">
        <v>0</v>
      </c>
      <c r="BA27" s="74">
        <v>1</v>
      </c>
      <c r="BB27" s="74">
        <v>1</v>
      </c>
      <c r="BC27" s="78">
        <v>1</v>
      </c>
      <c r="BD27" s="74">
        <v>1</v>
      </c>
      <c r="BE27" s="74">
        <v>1</v>
      </c>
      <c r="BF27" s="74">
        <v>1</v>
      </c>
      <c r="BG27" s="74">
        <v>1</v>
      </c>
      <c r="BH27" s="74">
        <v>1</v>
      </c>
      <c r="BI27" s="74">
        <v>1</v>
      </c>
      <c r="BJ27" s="74">
        <v>1</v>
      </c>
      <c r="BK27" s="74">
        <v>1</v>
      </c>
      <c r="BL27" s="74">
        <v>1</v>
      </c>
      <c r="BM27" s="74">
        <v>1</v>
      </c>
      <c r="BN27" s="74">
        <v>1</v>
      </c>
      <c r="BO27" s="74">
        <v>1</v>
      </c>
      <c r="BP27" s="74">
        <v>1</v>
      </c>
      <c r="BQ27" s="74">
        <v>1</v>
      </c>
      <c r="BR27" s="74">
        <v>1</v>
      </c>
      <c r="BS27" s="74">
        <v>1</v>
      </c>
      <c r="BT27" s="74">
        <v>1</v>
      </c>
      <c r="BU27" s="74">
        <v>1</v>
      </c>
      <c r="BV27" s="74">
        <v>1</v>
      </c>
      <c r="BW27" s="74">
        <v>1</v>
      </c>
      <c r="BX27" s="74">
        <v>1</v>
      </c>
      <c r="BY27" s="74">
        <v>1</v>
      </c>
      <c r="BZ27" s="74">
        <v>1</v>
      </c>
      <c r="CA27" s="78">
        <v>1</v>
      </c>
      <c r="CB27" s="74">
        <v>1</v>
      </c>
      <c r="CC27" s="74">
        <v>1</v>
      </c>
      <c r="CD27" s="74">
        <v>1</v>
      </c>
      <c r="CE27" s="74">
        <v>1</v>
      </c>
      <c r="CF27" s="74">
        <v>1</v>
      </c>
      <c r="CG27" s="74">
        <v>1</v>
      </c>
      <c r="CH27" s="74">
        <v>1</v>
      </c>
      <c r="CI27" s="74">
        <v>1</v>
      </c>
      <c r="CJ27" s="74">
        <v>1</v>
      </c>
      <c r="CK27" s="74">
        <v>1</v>
      </c>
      <c r="CL27" s="74">
        <v>1</v>
      </c>
      <c r="CM27" s="74">
        <v>1</v>
      </c>
      <c r="CN27" s="74">
        <v>1</v>
      </c>
      <c r="CO27" s="74">
        <v>1</v>
      </c>
      <c r="CP27" s="74">
        <v>1</v>
      </c>
      <c r="CQ27" s="74">
        <v>1</v>
      </c>
      <c r="CR27" s="74">
        <v>1</v>
      </c>
      <c r="CS27" s="74">
        <v>1</v>
      </c>
      <c r="CT27" s="74">
        <v>1</v>
      </c>
      <c r="CU27" s="74">
        <v>1</v>
      </c>
      <c r="CV27" s="74">
        <v>1</v>
      </c>
      <c r="CW27" s="74">
        <v>1</v>
      </c>
      <c r="CX27" s="74">
        <v>1</v>
      </c>
      <c r="CY27" s="78">
        <v>1</v>
      </c>
      <c r="CZ27" s="74">
        <v>1</v>
      </c>
      <c r="DA27" s="74">
        <v>1</v>
      </c>
      <c r="DB27" s="74">
        <v>1</v>
      </c>
      <c r="DC27" s="74">
        <v>1</v>
      </c>
      <c r="DD27" s="74">
        <v>1</v>
      </c>
      <c r="DE27" s="74">
        <v>1</v>
      </c>
      <c r="DF27" s="74">
        <v>1</v>
      </c>
      <c r="DG27" s="74">
        <v>1</v>
      </c>
      <c r="DH27" s="74">
        <v>1</v>
      </c>
      <c r="DI27" s="74">
        <v>1</v>
      </c>
      <c r="DJ27" s="74">
        <v>1</v>
      </c>
      <c r="DK27" s="74">
        <v>1</v>
      </c>
      <c r="DL27" s="74">
        <v>1</v>
      </c>
      <c r="DM27" s="74">
        <v>1</v>
      </c>
      <c r="DN27" s="74">
        <v>1</v>
      </c>
      <c r="DO27" s="74">
        <v>1</v>
      </c>
      <c r="DP27" s="74">
        <v>1</v>
      </c>
      <c r="DQ27" s="74">
        <v>1</v>
      </c>
      <c r="DR27" s="74">
        <v>1</v>
      </c>
      <c r="DS27" s="74">
        <v>1</v>
      </c>
      <c r="DT27" s="74">
        <v>1</v>
      </c>
      <c r="DU27" s="74">
        <v>1</v>
      </c>
      <c r="DV27" s="74">
        <v>1</v>
      </c>
      <c r="DW27" s="78">
        <v>1</v>
      </c>
      <c r="DX27" s="74">
        <v>1</v>
      </c>
      <c r="DY27" s="74">
        <v>1</v>
      </c>
      <c r="DZ27" s="74">
        <v>1</v>
      </c>
      <c r="EA27" s="74">
        <v>1</v>
      </c>
      <c r="EB27" s="74">
        <v>1</v>
      </c>
      <c r="EC27" s="74">
        <v>1</v>
      </c>
      <c r="ED27" s="74">
        <v>1</v>
      </c>
      <c r="EE27" s="74">
        <v>1</v>
      </c>
      <c r="EF27" s="74">
        <v>1</v>
      </c>
      <c r="EG27" s="74">
        <v>1</v>
      </c>
      <c r="EH27" s="74">
        <v>1</v>
      </c>
      <c r="EI27" s="74">
        <v>1</v>
      </c>
      <c r="EJ27" s="74">
        <v>1</v>
      </c>
      <c r="EK27" s="74">
        <v>1</v>
      </c>
      <c r="EL27" s="74">
        <v>1</v>
      </c>
      <c r="EM27" s="74">
        <v>1</v>
      </c>
      <c r="EN27" s="74">
        <v>1</v>
      </c>
      <c r="EO27" s="74">
        <v>1</v>
      </c>
      <c r="EP27" s="74">
        <v>1</v>
      </c>
      <c r="EQ27" s="74">
        <v>1</v>
      </c>
      <c r="ER27" s="74">
        <v>1</v>
      </c>
      <c r="ES27" s="74">
        <v>1</v>
      </c>
      <c r="ET27" s="74">
        <v>1</v>
      </c>
      <c r="EU27" s="78">
        <v>1</v>
      </c>
      <c r="EV27" s="74">
        <v>1</v>
      </c>
      <c r="EW27" s="74">
        <v>1</v>
      </c>
      <c r="EX27" s="74">
        <v>1</v>
      </c>
      <c r="EY27" s="74">
        <v>1</v>
      </c>
      <c r="EZ27" s="74">
        <v>1</v>
      </c>
      <c r="FA27" s="74">
        <v>1</v>
      </c>
      <c r="FB27" s="74">
        <v>1</v>
      </c>
      <c r="FC27" s="74">
        <v>1</v>
      </c>
      <c r="FD27" s="74">
        <v>1</v>
      </c>
      <c r="FE27" s="74">
        <v>1</v>
      </c>
      <c r="FF27" s="74">
        <v>1</v>
      </c>
      <c r="FG27" s="74">
        <v>1</v>
      </c>
      <c r="FH27" s="74">
        <v>1</v>
      </c>
      <c r="FI27" s="74">
        <v>1</v>
      </c>
      <c r="FJ27" s="74">
        <v>1</v>
      </c>
      <c r="FK27" s="74">
        <v>1</v>
      </c>
      <c r="FL27" s="74">
        <v>1</v>
      </c>
      <c r="FM27" s="74">
        <v>1</v>
      </c>
      <c r="FN27" s="74">
        <v>1</v>
      </c>
      <c r="FO27" s="74">
        <v>1</v>
      </c>
      <c r="FP27" s="74">
        <v>1</v>
      </c>
      <c r="FQ27" s="74">
        <v>1</v>
      </c>
      <c r="FR27" s="74">
        <v>1</v>
      </c>
      <c r="FS27" s="78">
        <v>1</v>
      </c>
      <c r="FT27" s="74">
        <v>1</v>
      </c>
      <c r="FU27" s="74">
        <v>1</v>
      </c>
      <c r="FV27" s="74">
        <v>1</v>
      </c>
      <c r="FW27" s="74">
        <v>1</v>
      </c>
      <c r="FX27" s="74">
        <v>1</v>
      </c>
      <c r="FY27" s="74">
        <v>1</v>
      </c>
      <c r="FZ27" s="74">
        <v>1</v>
      </c>
      <c r="GA27" s="74">
        <v>1</v>
      </c>
      <c r="GB27" s="74">
        <v>1</v>
      </c>
      <c r="GC27" s="74">
        <v>1</v>
      </c>
      <c r="GD27" s="74">
        <v>1</v>
      </c>
      <c r="GE27" s="74">
        <v>1</v>
      </c>
      <c r="GF27" s="74">
        <v>1</v>
      </c>
      <c r="GG27" s="74">
        <v>1</v>
      </c>
      <c r="GH27" s="74">
        <v>1</v>
      </c>
      <c r="GI27" s="74">
        <v>1</v>
      </c>
      <c r="GJ27" s="74">
        <v>1</v>
      </c>
      <c r="GK27" s="74">
        <v>1</v>
      </c>
      <c r="GL27" s="74">
        <v>1</v>
      </c>
      <c r="GM27" s="74">
        <v>1</v>
      </c>
      <c r="GN27" s="74">
        <v>1</v>
      </c>
      <c r="GO27" s="74">
        <v>1</v>
      </c>
      <c r="GP27" s="74">
        <v>1</v>
      </c>
      <c r="GQ27" s="78">
        <v>1</v>
      </c>
      <c r="GR27" s="74">
        <v>1</v>
      </c>
      <c r="GS27" s="74">
        <v>1</v>
      </c>
      <c r="GT27" s="74">
        <v>1</v>
      </c>
      <c r="GU27" s="74">
        <v>1</v>
      </c>
      <c r="GV27" s="74">
        <v>1</v>
      </c>
      <c r="GW27" s="74">
        <v>1</v>
      </c>
      <c r="GX27" s="74">
        <v>1</v>
      </c>
      <c r="GY27" s="74">
        <v>1</v>
      </c>
      <c r="GZ27" s="74">
        <v>1</v>
      </c>
      <c r="HA27" s="74">
        <v>1</v>
      </c>
      <c r="HB27" s="74">
        <v>1</v>
      </c>
      <c r="HC27" s="74">
        <v>1</v>
      </c>
      <c r="HD27" s="74">
        <v>1</v>
      </c>
      <c r="HE27" s="74">
        <v>1</v>
      </c>
      <c r="HF27" s="74">
        <v>1</v>
      </c>
      <c r="HG27" s="74">
        <v>1</v>
      </c>
      <c r="HH27" s="74">
        <v>1</v>
      </c>
      <c r="HI27" s="74">
        <v>1</v>
      </c>
      <c r="HJ27" s="74">
        <v>1</v>
      </c>
      <c r="HK27" s="74">
        <v>1</v>
      </c>
      <c r="HL27" s="74">
        <v>1</v>
      </c>
      <c r="HM27" s="74">
        <v>1</v>
      </c>
      <c r="HN27" s="74">
        <v>1</v>
      </c>
      <c r="HO27" s="74">
        <v>1</v>
      </c>
      <c r="HP27" s="74">
        <v>1</v>
      </c>
      <c r="HQ27" s="74">
        <v>1</v>
      </c>
      <c r="HR27" s="74">
        <v>1</v>
      </c>
      <c r="HS27" s="74">
        <v>1</v>
      </c>
      <c r="HT27" s="74">
        <v>1</v>
      </c>
      <c r="HU27" s="74">
        <v>1</v>
      </c>
      <c r="HV27" s="74">
        <v>1</v>
      </c>
      <c r="HW27" s="74">
        <v>1</v>
      </c>
      <c r="HX27" s="75">
        <v>1</v>
      </c>
    </row>
    <row r="28" spans="1:232" x14ac:dyDescent="0.2">
      <c r="A28" s="27" t="s">
        <v>122</v>
      </c>
      <c r="B28" s="83" t="s">
        <v>74</v>
      </c>
      <c r="C28" s="80" t="s">
        <v>131</v>
      </c>
      <c r="D28" s="81">
        <v>5.2</v>
      </c>
      <c r="E28" s="80" t="s">
        <v>127</v>
      </c>
      <c r="F28" s="80" t="s">
        <v>123</v>
      </c>
      <c r="G28" s="78">
        <v>1</v>
      </c>
      <c r="H28" s="74">
        <v>1</v>
      </c>
      <c r="I28" s="74">
        <v>1</v>
      </c>
      <c r="J28" s="74">
        <v>1</v>
      </c>
      <c r="K28" s="74">
        <v>1</v>
      </c>
      <c r="L28" s="74">
        <v>1</v>
      </c>
      <c r="M28" s="74">
        <v>1</v>
      </c>
      <c r="N28" s="74">
        <v>1</v>
      </c>
      <c r="O28" s="74">
        <v>1</v>
      </c>
      <c r="P28" s="74">
        <v>1</v>
      </c>
      <c r="Q28" s="74">
        <v>1</v>
      </c>
      <c r="R28" s="74">
        <v>1</v>
      </c>
      <c r="S28" s="74">
        <v>1</v>
      </c>
      <c r="T28" s="74">
        <v>1</v>
      </c>
      <c r="U28" s="74">
        <v>1</v>
      </c>
      <c r="V28" s="74">
        <v>1</v>
      </c>
      <c r="W28" s="74">
        <v>1</v>
      </c>
      <c r="X28" s="74">
        <v>1</v>
      </c>
      <c r="Y28" s="74">
        <v>1</v>
      </c>
      <c r="Z28" s="74">
        <v>1</v>
      </c>
      <c r="AA28" s="74">
        <v>1</v>
      </c>
      <c r="AB28" s="74">
        <v>1</v>
      </c>
      <c r="AC28" s="74">
        <v>1</v>
      </c>
      <c r="AD28" s="74">
        <v>1</v>
      </c>
      <c r="AE28" s="78">
        <v>1</v>
      </c>
      <c r="AF28" s="74">
        <v>1</v>
      </c>
      <c r="AG28" s="74">
        <v>1</v>
      </c>
      <c r="AH28" s="74">
        <v>1</v>
      </c>
      <c r="AI28" s="74">
        <v>1</v>
      </c>
      <c r="AJ28" s="74">
        <v>1</v>
      </c>
      <c r="AK28" s="74">
        <v>1</v>
      </c>
      <c r="AL28" s="74">
        <v>1</v>
      </c>
      <c r="AM28" s="74">
        <v>1</v>
      </c>
      <c r="AN28" s="74">
        <v>1</v>
      </c>
      <c r="AO28" s="74">
        <v>1</v>
      </c>
      <c r="AP28" s="74">
        <v>1</v>
      </c>
      <c r="AQ28" s="74">
        <v>1</v>
      </c>
      <c r="AR28" s="74">
        <v>1</v>
      </c>
      <c r="AS28" s="74">
        <v>1</v>
      </c>
      <c r="AT28" s="74">
        <v>1</v>
      </c>
      <c r="AU28" s="74">
        <v>1</v>
      </c>
      <c r="AV28" s="74">
        <v>1</v>
      </c>
      <c r="AW28" s="74">
        <v>1</v>
      </c>
      <c r="AX28" s="74">
        <v>1</v>
      </c>
      <c r="AY28" s="74">
        <v>1</v>
      </c>
      <c r="AZ28" s="74">
        <v>1</v>
      </c>
      <c r="BA28" s="74">
        <v>0</v>
      </c>
      <c r="BB28" s="74">
        <v>0</v>
      </c>
      <c r="BC28" s="78">
        <v>0</v>
      </c>
      <c r="BD28" s="74">
        <v>0</v>
      </c>
      <c r="BE28" s="74">
        <v>0</v>
      </c>
      <c r="BF28" s="74">
        <v>0</v>
      </c>
      <c r="BG28" s="74">
        <v>0</v>
      </c>
      <c r="BH28" s="74">
        <v>0</v>
      </c>
      <c r="BI28" s="74">
        <v>0</v>
      </c>
      <c r="BJ28" s="74">
        <v>0</v>
      </c>
      <c r="BK28" s="74">
        <v>0</v>
      </c>
      <c r="BL28" s="74">
        <v>1</v>
      </c>
      <c r="BM28" s="74">
        <v>1</v>
      </c>
      <c r="BN28" s="74">
        <v>1</v>
      </c>
      <c r="BO28" s="74">
        <v>1</v>
      </c>
      <c r="BP28" s="74">
        <v>1</v>
      </c>
      <c r="BQ28" s="74">
        <v>1</v>
      </c>
      <c r="BR28" s="74">
        <v>1</v>
      </c>
      <c r="BS28" s="74">
        <v>1</v>
      </c>
      <c r="BT28" s="74">
        <v>1</v>
      </c>
      <c r="BU28" s="74">
        <v>1</v>
      </c>
      <c r="BV28" s="74">
        <v>1</v>
      </c>
      <c r="BW28" s="74">
        <v>1</v>
      </c>
      <c r="BX28" s="74">
        <v>1</v>
      </c>
      <c r="BY28" s="74">
        <v>0</v>
      </c>
      <c r="BZ28" s="74">
        <v>0</v>
      </c>
      <c r="CA28" s="78">
        <v>0</v>
      </c>
      <c r="CB28" s="74">
        <v>0</v>
      </c>
      <c r="CC28" s="74">
        <v>0</v>
      </c>
      <c r="CD28" s="74">
        <v>0</v>
      </c>
      <c r="CE28" s="74">
        <v>0</v>
      </c>
      <c r="CF28" s="74">
        <v>0</v>
      </c>
      <c r="CG28" s="74">
        <v>0</v>
      </c>
      <c r="CH28" s="74">
        <v>0</v>
      </c>
      <c r="CI28" s="74">
        <v>0</v>
      </c>
      <c r="CJ28" s="74">
        <v>1</v>
      </c>
      <c r="CK28" s="74">
        <v>1</v>
      </c>
      <c r="CL28" s="74">
        <v>1</v>
      </c>
      <c r="CM28" s="74">
        <v>1</v>
      </c>
      <c r="CN28" s="74">
        <v>1</v>
      </c>
      <c r="CO28" s="74">
        <v>1</v>
      </c>
      <c r="CP28" s="74">
        <v>1</v>
      </c>
      <c r="CQ28" s="74">
        <v>1</v>
      </c>
      <c r="CR28" s="74">
        <v>1</v>
      </c>
      <c r="CS28" s="74">
        <v>1</v>
      </c>
      <c r="CT28" s="74">
        <v>1</v>
      </c>
      <c r="CU28" s="74">
        <v>1</v>
      </c>
      <c r="CV28" s="74">
        <v>1</v>
      </c>
      <c r="CW28" s="74">
        <v>0</v>
      </c>
      <c r="CX28" s="74">
        <v>0</v>
      </c>
      <c r="CY28" s="78">
        <v>0</v>
      </c>
      <c r="CZ28" s="74">
        <v>0</v>
      </c>
      <c r="DA28" s="74">
        <v>0</v>
      </c>
      <c r="DB28" s="74">
        <v>0</v>
      </c>
      <c r="DC28" s="74">
        <v>0</v>
      </c>
      <c r="DD28" s="74">
        <v>0</v>
      </c>
      <c r="DE28" s="74">
        <v>0</v>
      </c>
      <c r="DF28" s="74">
        <v>0</v>
      </c>
      <c r="DG28" s="74">
        <v>0</v>
      </c>
      <c r="DH28" s="74">
        <v>1</v>
      </c>
      <c r="DI28" s="74">
        <v>1</v>
      </c>
      <c r="DJ28" s="74">
        <v>1</v>
      </c>
      <c r="DK28" s="74">
        <v>1</v>
      </c>
      <c r="DL28" s="74">
        <v>1</v>
      </c>
      <c r="DM28" s="74">
        <v>1</v>
      </c>
      <c r="DN28" s="74">
        <v>1</v>
      </c>
      <c r="DO28" s="74">
        <v>1</v>
      </c>
      <c r="DP28" s="74">
        <v>1</v>
      </c>
      <c r="DQ28" s="74">
        <v>1</v>
      </c>
      <c r="DR28" s="74">
        <v>1</v>
      </c>
      <c r="DS28" s="74">
        <v>1</v>
      </c>
      <c r="DT28" s="74">
        <v>1</v>
      </c>
      <c r="DU28" s="74">
        <v>0</v>
      </c>
      <c r="DV28" s="74">
        <v>0</v>
      </c>
      <c r="DW28" s="78">
        <v>0</v>
      </c>
      <c r="DX28" s="74">
        <v>0</v>
      </c>
      <c r="DY28" s="74">
        <v>0</v>
      </c>
      <c r="DZ28" s="74">
        <v>0</v>
      </c>
      <c r="EA28" s="74">
        <v>0</v>
      </c>
      <c r="EB28" s="74">
        <v>0</v>
      </c>
      <c r="EC28" s="74">
        <v>0</v>
      </c>
      <c r="ED28" s="74">
        <v>0</v>
      </c>
      <c r="EE28" s="74">
        <v>0</v>
      </c>
      <c r="EF28" s="74">
        <v>1</v>
      </c>
      <c r="EG28" s="74">
        <v>1</v>
      </c>
      <c r="EH28" s="74">
        <v>1</v>
      </c>
      <c r="EI28" s="74">
        <v>1</v>
      </c>
      <c r="EJ28" s="74">
        <v>1</v>
      </c>
      <c r="EK28" s="74">
        <v>1</v>
      </c>
      <c r="EL28" s="74">
        <v>1</v>
      </c>
      <c r="EM28" s="74">
        <v>1</v>
      </c>
      <c r="EN28" s="74">
        <v>1</v>
      </c>
      <c r="EO28" s="74">
        <v>1</v>
      </c>
      <c r="EP28" s="74">
        <v>1</v>
      </c>
      <c r="EQ28" s="74">
        <v>1</v>
      </c>
      <c r="ER28" s="74">
        <v>1</v>
      </c>
      <c r="ES28" s="74">
        <v>0</v>
      </c>
      <c r="ET28" s="74">
        <v>0</v>
      </c>
      <c r="EU28" s="78">
        <v>0</v>
      </c>
      <c r="EV28" s="74">
        <v>0</v>
      </c>
      <c r="EW28" s="74">
        <v>0</v>
      </c>
      <c r="EX28" s="74">
        <v>0</v>
      </c>
      <c r="EY28" s="74">
        <v>0</v>
      </c>
      <c r="EZ28" s="74">
        <v>0</v>
      </c>
      <c r="FA28" s="74">
        <v>0</v>
      </c>
      <c r="FB28" s="74">
        <v>0</v>
      </c>
      <c r="FC28" s="74">
        <v>0</v>
      </c>
      <c r="FD28" s="74">
        <v>1</v>
      </c>
      <c r="FE28" s="74">
        <v>1</v>
      </c>
      <c r="FF28" s="74">
        <v>1</v>
      </c>
      <c r="FG28" s="74">
        <v>1</v>
      </c>
      <c r="FH28" s="74">
        <v>1</v>
      </c>
      <c r="FI28" s="74">
        <v>1</v>
      </c>
      <c r="FJ28" s="74">
        <v>1</v>
      </c>
      <c r="FK28" s="74">
        <v>1</v>
      </c>
      <c r="FL28" s="74">
        <v>1</v>
      </c>
      <c r="FM28" s="74">
        <v>1</v>
      </c>
      <c r="FN28" s="74">
        <v>1</v>
      </c>
      <c r="FO28" s="74">
        <v>1</v>
      </c>
      <c r="FP28" s="74">
        <v>1</v>
      </c>
      <c r="FQ28" s="74">
        <v>0</v>
      </c>
      <c r="FR28" s="74">
        <v>0</v>
      </c>
      <c r="FS28" s="78">
        <v>0</v>
      </c>
      <c r="FT28" s="74">
        <v>0</v>
      </c>
      <c r="FU28" s="74">
        <v>0</v>
      </c>
      <c r="FV28" s="74">
        <v>0</v>
      </c>
      <c r="FW28" s="74">
        <v>0</v>
      </c>
      <c r="FX28" s="74">
        <v>0</v>
      </c>
      <c r="FY28" s="74">
        <v>0</v>
      </c>
      <c r="FZ28" s="74">
        <v>0</v>
      </c>
      <c r="GA28" s="74">
        <v>0</v>
      </c>
      <c r="GB28" s="74">
        <v>1</v>
      </c>
      <c r="GC28" s="74">
        <v>1</v>
      </c>
      <c r="GD28" s="74">
        <v>1</v>
      </c>
      <c r="GE28" s="74">
        <v>1</v>
      </c>
      <c r="GF28" s="74">
        <v>1</v>
      </c>
      <c r="GG28" s="74">
        <v>1</v>
      </c>
      <c r="GH28" s="74">
        <v>1</v>
      </c>
      <c r="GI28" s="74">
        <v>1</v>
      </c>
      <c r="GJ28" s="74">
        <v>1</v>
      </c>
      <c r="GK28" s="74">
        <v>1</v>
      </c>
      <c r="GL28" s="74">
        <v>1</v>
      </c>
      <c r="GM28" s="74">
        <v>1</v>
      </c>
      <c r="GN28" s="74">
        <v>1</v>
      </c>
      <c r="GO28" s="74">
        <v>0</v>
      </c>
      <c r="GP28" s="74">
        <v>0</v>
      </c>
      <c r="GQ28" s="78">
        <v>0</v>
      </c>
      <c r="GR28" s="74">
        <v>0</v>
      </c>
      <c r="GS28" s="74">
        <v>0</v>
      </c>
      <c r="GT28" s="74">
        <v>0</v>
      </c>
      <c r="GU28" s="74">
        <v>0</v>
      </c>
      <c r="GV28" s="74">
        <v>0</v>
      </c>
      <c r="GW28" s="74">
        <v>0</v>
      </c>
      <c r="GX28" s="74">
        <v>0</v>
      </c>
      <c r="GY28" s="74">
        <v>0</v>
      </c>
      <c r="GZ28" s="74">
        <v>1</v>
      </c>
      <c r="HA28" s="74">
        <v>1</v>
      </c>
      <c r="HB28" s="74">
        <v>1</v>
      </c>
      <c r="HC28" s="74">
        <v>1</v>
      </c>
      <c r="HD28" s="74">
        <v>1</v>
      </c>
      <c r="HE28" s="74">
        <v>1</v>
      </c>
      <c r="HF28" s="74">
        <v>1</v>
      </c>
      <c r="HG28" s="74">
        <v>1</v>
      </c>
      <c r="HH28" s="74">
        <v>1</v>
      </c>
      <c r="HI28" s="74">
        <v>1</v>
      </c>
      <c r="HJ28" s="74">
        <v>1</v>
      </c>
      <c r="HK28" s="74">
        <v>1</v>
      </c>
      <c r="HL28" s="74">
        <v>1</v>
      </c>
      <c r="HM28" s="74">
        <v>0</v>
      </c>
      <c r="HN28" s="74">
        <v>0</v>
      </c>
      <c r="HO28" s="74">
        <v>0</v>
      </c>
      <c r="HP28" s="74">
        <v>0</v>
      </c>
      <c r="HQ28" s="74">
        <v>0</v>
      </c>
      <c r="HR28" s="74">
        <v>0</v>
      </c>
      <c r="HS28" s="74">
        <v>0</v>
      </c>
      <c r="HT28" s="74">
        <v>0</v>
      </c>
      <c r="HU28" s="74">
        <v>0</v>
      </c>
      <c r="HV28" s="74">
        <v>0</v>
      </c>
      <c r="HW28" s="74">
        <v>0</v>
      </c>
      <c r="HX28" s="75">
        <v>1</v>
      </c>
    </row>
    <row r="29" spans="1:232" x14ac:dyDescent="0.2">
      <c r="A29" s="27" t="s">
        <v>122</v>
      </c>
      <c r="B29" s="83" t="s">
        <v>75</v>
      </c>
      <c r="C29" s="80" t="s">
        <v>131</v>
      </c>
      <c r="D29" s="81">
        <v>5.2</v>
      </c>
      <c r="E29" s="80" t="s">
        <v>127</v>
      </c>
      <c r="F29" s="80" t="s">
        <v>123</v>
      </c>
      <c r="G29" s="78">
        <v>1</v>
      </c>
      <c r="H29" s="74">
        <v>1</v>
      </c>
      <c r="I29" s="74">
        <v>1</v>
      </c>
      <c r="J29" s="74">
        <v>1</v>
      </c>
      <c r="K29" s="74">
        <v>1</v>
      </c>
      <c r="L29" s="74">
        <v>1</v>
      </c>
      <c r="M29" s="74">
        <v>1</v>
      </c>
      <c r="N29" s="74">
        <v>1</v>
      </c>
      <c r="O29" s="74">
        <v>1</v>
      </c>
      <c r="P29" s="74">
        <v>1</v>
      </c>
      <c r="Q29" s="74">
        <v>1</v>
      </c>
      <c r="R29" s="74">
        <v>1</v>
      </c>
      <c r="S29" s="74">
        <v>1</v>
      </c>
      <c r="T29" s="74">
        <v>1</v>
      </c>
      <c r="U29" s="74">
        <v>1</v>
      </c>
      <c r="V29" s="74">
        <v>1</v>
      </c>
      <c r="W29" s="74">
        <v>1</v>
      </c>
      <c r="X29" s="74">
        <v>1</v>
      </c>
      <c r="Y29" s="74">
        <v>1</v>
      </c>
      <c r="Z29" s="74">
        <v>1</v>
      </c>
      <c r="AA29" s="74">
        <v>1</v>
      </c>
      <c r="AB29" s="74">
        <v>1</v>
      </c>
      <c r="AC29" s="74">
        <v>1</v>
      </c>
      <c r="AD29" s="74">
        <v>1</v>
      </c>
      <c r="AE29" s="78">
        <v>1</v>
      </c>
      <c r="AF29" s="74">
        <v>1</v>
      </c>
      <c r="AG29" s="74">
        <v>1</v>
      </c>
      <c r="AH29" s="74">
        <v>1</v>
      </c>
      <c r="AI29" s="74">
        <v>1</v>
      </c>
      <c r="AJ29" s="74">
        <v>1</v>
      </c>
      <c r="AK29" s="74">
        <v>1</v>
      </c>
      <c r="AL29" s="74">
        <v>1</v>
      </c>
      <c r="AM29" s="74">
        <v>1</v>
      </c>
      <c r="AN29" s="74">
        <v>1</v>
      </c>
      <c r="AO29" s="74">
        <v>1</v>
      </c>
      <c r="AP29" s="74">
        <v>1</v>
      </c>
      <c r="AQ29" s="74">
        <v>1</v>
      </c>
      <c r="AR29" s="74">
        <v>1</v>
      </c>
      <c r="AS29" s="74">
        <v>1</v>
      </c>
      <c r="AT29" s="74">
        <v>1</v>
      </c>
      <c r="AU29" s="74">
        <v>1</v>
      </c>
      <c r="AV29" s="74">
        <v>1</v>
      </c>
      <c r="AW29" s="74">
        <v>1</v>
      </c>
      <c r="AX29" s="74">
        <v>1</v>
      </c>
      <c r="AY29" s="74">
        <v>1</v>
      </c>
      <c r="AZ29" s="74">
        <v>1</v>
      </c>
      <c r="BA29" s="74">
        <v>1</v>
      </c>
      <c r="BB29" s="74">
        <v>1</v>
      </c>
      <c r="BC29" s="78">
        <v>1</v>
      </c>
      <c r="BD29" s="74">
        <v>1</v>
      </c>
      <c r="BE29" s="74">
        <v>1</v>
      </c>
      <c r="BF29" s="74">
        <v>1</v>
      </c>
      <c r="BG29" s="74">
        <v>1</v>
      </c>
      <c r="BH29" s="74">
        <v>1</v>
      </c>
      <c r="BI29" s="74">
        <v>1</v>
      </c>
      <c r="BJ29" s="74">
        <v>1</v>
      </c>
      <c r="BK29" s="74">
        <v>1</v>
      </c>
      <c r="BL29" s="74">
        <v>1</v>
      </c>
      <c r="BM29" s="74">
        <v>1</v>
      </c>
      <c r="BN29" s="74">
        <v>1</v>
      </c>
      <c r="BO29" s="74">
        <v>1</v>
      </c>
      <c r="BP29" s="74">
        <v>1</v>
      </c>
      <c r="BQ29" s="74">
        <v>1</v>
      </c>
      <c r="BR29" s="74">
        <v>1</v>
      </c>
      <c r="BS29" s="74">
        <v>1</v>
      </c>
      <c r="BT29" s="74">
        <v>1</v>
      </c>
      <c r="BU29" s="74">
        <v>1</v>
      </c>
      <c r="BV29" s="74">
        <v>1</v>
      </c>
      <c r="BW29" s="74">
        <v>1</v>
      </c>
      <c r="BX29" s="74">
        <v>1</v>
      </c>
      <c r="BY29" s="74">
        <v>1</v>
      </c>
      <c r="BZ29" s="74">
        <v>1</v>
      </c>
      <c r="CA29" s="78">
        <v>1</v>
      </c>
      <c r="CB29" s="74">
        <v>1</v>
      </c>
      <c r="CC29" s="74">
        <v>1</v>
      </c>
      <c r="CD29" s="74">
        <v>1</v>
      </c>
      <c r="CE29" s="74">
        <v>1</v>
      </c>
      <c r="CF29" s="74">
        <v>1</v>
      </c>
      <c r="CG29" s="74">
        <v>1</v>
      </c>
      <c r="CH29" s="74">
        <v>1</v>
      </c>
      <c r="CI29" s="74">
        <v>1</v>
      </c>
      <c r="CJ29" s="74">
        <v>1</v>
      </c>
      <c r="CK29" s="74">
        <v>1</v>
      </c>
      <c r="CL29" s="74">
        <v>1</v>
      </c>
      <c r="CM29" s="74">
        <v>1</v>
      </c>
      <c r="CN29" s="74">
        <v>1</v>
      </c>
      <c r="CO29" s="74">
        <v>1</v>
      </c>
      <c r="CP29" s="74">
        <v>1</v>
      </c>
      <c r="CQ29" s="74">
        <v>1</v>
      </c>
      <c r="CR29" s="74">
        <v>1</v>
      </c>
      <c r="CS29" s="74">
        <v>1</v>
      </c>
      <c r="CT29" s="74">
        <v>1</v>
      </c>
      <c r="CU29" s="74">
        <v>1</v>
      </c>
      <c r="CV29" s="74">
        <v>1</v>
      </c>
      <c r="CW29" s="74">
        <v>1</v>
      </c>
      <c r="CX29" s="74">
        <v>1</v>
      </c>
      <c r="CY29" s="78">
        <v>1</v>
      </c>
      <c r="CZ29" s="74">
        <v>1</v>
      </c>
      <c r="DA29" s="74">
        <v>1</v>
      </c>
      <c r="DB29" s="74">
        <v>1</v>
      </c>
      <c r="DC29" s="74">
        <v>1</v>
      </c>
      <c r="DD29" s="74">
        <v>1</v>
      </c>
      <c r="DE29" s="74">
        <v>1</v>
      </c>
      <c r="DF29" s="74">
        <v>1</v>
      </c>
      <c r="DG29" s="74">
        <v>1</v>
      </c>
      <c r="DH29" s="74">
        <v>1</v>
      </c>
      <c r="DI29" s="74">
        <v>1</v>
      </c>
      <c r="DJ29" s="74">
        <v>1</v>
      </c>
      <c r="DK29" s="74">
        <v>1</v>
      </c>
      <c r="DL29" s="74">
        <v>1</v>
      </c>
      <c r="DM29" s="74">
        <v>1</v>
      </c>
      <c r="DN29" s="74">
        <v>1</v>
      </c>
      <c r="DO29" s="74">
        <v>1</v>
      </c>
      <c r="DP29" s="74">
        <v>1</v>
      </c>
      <c r="DQ29" s="74">
        <v>1</v>
      </c>
      <c r="DR29" s="74">
        <v>1</v>
      </c>
      <c r="DS29" s="74">
        <v>1</v>
      </c>
      <c r="DT29" s="74">
        <v>1</v>
      </c>
      <c r="DU29" s="74">
        <v>1</v>
      </c>
      <c r="DV29" s="74">
        <v>1</v>
      </c>
      <c r="DW29" s="78">
        <v>1</v>
      </c>
      <c r="DX29" s="74">
        <v>1</v>
      </c>
      <c r="DY29" s="74">
        <v>1</v>
      </c>
      <c r="DZ29" s="74">
        <v>1</v>
      </c>
      <c r="EA29" s="74">
        <v>1</v>
      </c>
      <c r="EB29" s="74">
        <v>1</v>
      </c>
      <c r="EC29" s="74">
        <v>1</v>
      </c>
      <c r="ED29" s="74">
        <v>1</v>
      </c>
      <c r="EE29" s="74">
        <v>1</v>
      </c>
      <c r="EF29" s="74">
        <v>1</v>
      </c>
      <c r="EG29" s="74">
        <v>1</v>
      </c>
      <c r="EH29" s="74">
        <v>1</v>
      </c>
      <c r="EI29" s="74">
        <v>1</v>
      </c>
      <c r="EJ29" s="74">
        <v>1</v>
      </c>
      <c r="EK29" s="74">
        <v>1</v>
      </c>
      <c r="EL29" s="74">
        <v>1</v>
      </c>
      <c r="EM29" s="74">
        <v>1</v>
      </c>
      <c r="EN29" s="74">
        <v>1</v>
      </c>
      <c r="EO29" s="74">
        <v>1</v>
      </c>
      <c r="EP29" s="74">
        <v>1</v>
      </c>
      <c r="EQ29" s="74">
        <v>1</v>
      </c>
      <c r="ER29" s="74">
        <v>1</v>
      </c>
      <c r="ES29" s="74">
        <v>1</v>
      </c>
      <c r="ET29" s="74">
        <v>1</v>
      </c>
      <c r="EU29" s="78">
        <v>1</v>
      </c>
      <c r="EV29" s="74">
        <v>1</v>
      </c>
      <c r="EW29" s="74">
        <v>1</v>
      </c>
      <c r="EX29" s="74">
        <v>1</v>
      </c>
      <c r="EY29" s="74">
        <v>1</v>
      </c>
      <c r="EZ29" s="74">
        <v>1</v>
      </c>
      <c r="FA29" s="74">
        <v>1</v>
      </c>
      <c r="FB29" s="74">
        <v>1</v>
      </c>
      <c r="FC29" s="74">
        <v>1</v>
      </c>
      <c r="FD29" s="74">
        <v>1</v>
      </c>
      <c r="FE29" s="74">
        <v>1</v>
      </c>
      <c r="FF29" s="74">
        <v>1</v>
      </c>
      <c r="FG29" s="74">
        <v>1</v>
      </c>
      <c r="FH29" s="74">
        <v>1</v>
      </c>
      <c r="FI29" s="74">
        <v>1</v>
      </c>
      <c r="FJ29" s="74">
        <v>1</v>
      </c>
      <c r="FK29" s="74">
        <v>1</v>
      </c>
      <c r="FL29" s="74">
        <v>1</v>
      </c>
      <c r="FM29" s="74">
        <v>1</v>
      </c>
      <c r="FN29" s="74">
        <v>1</v>
      </c>
      <c r="FO29" s="74">
        <v>1</v>
      </c>
      <c r="FP29" s="74">
        <v>1</v>
      </c>
      <c r="FQ29" s="74">
        <v>1</v>
      </c>
      <c r="FR29" s="74">
        <v>1</v>
      </c>
      <c r="FS29" s="78">
        <v>1</v>
      </c>
      <c r="FT29" s="74">
        <v>1</v>
      </c>
      <c r="FU29" s="74">
        <v>1</v>
      </c>
      <c r="FV29" s="74">
        <v>1</v>
      </c>
      <c r="FW29" s="74">
        <v>1</v>
      </c>
      <c r="FX29" s="74">
        <v>1</v>
      </c>
      <c r="FY29" s="74">
        <v>1</v>
      </c>
      <c r="FZ29" s="74">
        <v>1</v>
      </c>
      <c r="GA29" s="74">
        <v>1</v>
      </c>
      <c r="GB29" s="74">
        <v>1</v>
      </c>
      <c r="GC29" s="74">
        <v>1</v>
      </c>
      <c r="GD29" s="74">
        <v>1</v>
      </c>
      <c r="GE29" s="74">
        <v>1</v>
      </c>
      <c r="GF29" s="74">
        <v>1</v>
      </c>
      <c r="GG29" s="74">
        <v>1</v>
      </c>
      <c r="GH29" s="74">
        <v>1</v>
      </c>
      <c r="GI29" s="74">
        <v>1</v>
      </c>
      <c r="GJ29" s="74">
        <v>1</v>
      </c>
      <c r="GK29" s="74">
        <v>1</v>
      </c>
      <c r="GL29" s="74">
        <v>1</v>
      </c>
      <c r="GM29" s="74">
        <v>1</v>
      </c>
      <c r="GN29" s="74">
        <v>1</v>
      </c>
      <c r="GO29" s="74">
        <v>1</v>
      </c>
      <c r="GP29" s="74">
        <v>1</v>
      </c>
      <c r="GQ29" s="78">
        <v>1</v>
      </c>
      <c r="GR29" s="74">
        <v>1</v>
      </c>
      <c r="GS29" s="74">
        <v>1</v>
      </c>
      <c r="GT29" s="74">
        <v>1</v>
      </c>
      <c r="GU29" s="74">
        <v>1</v>
      </c>
      <c r="GV29" s="74">
        <v>1</v>
      </c>
      <c r="GW29" s="74">
        <v>1</v>
      </c>
      <c r="GX29" s="74">
        <v>1</v>
      </c>
      <c r="GY29" s="74">
        <v>1</v>
      </c>
      <c r="GZ29" s="74">
        <v>1</v>
      </c>
      <c r="HA29" s="74">
        <v>1</v>
      </c>
      <c r="HB29" s="74">
        <v>1</v>
      </c>
      <c r="HC29" s="74">
        <v>1</v>
      </c>
      <c r="HD29" s="74">
        <v>1</v>
      </c>
      <c r="HE29" s="74">
        <v>1</v>
      </c>
      <c r="HF29" s="74">
        <v>1</v>
      </c>
      <c r="HG29" s="74">
        <v>1</v>
      </c>
      <c r="HH29" s="74">
        <v>1</v>
      </c>
      <c r="HI29" s="74">
        <v>1</v>
      </c>
      <c r="HJ29" s="74">
        <v>1</v>
      </c>
      <c r="HK29" s="74">
        <v>1</v>
      </c>
      <c r="HL29" s="74">
        <v>1</v>
      </c>
      <c r="HM29" s="74">
        <v>1</v>
      </c>
      <c r="HN29" s="74">
        <v>1</v>
      </c>
      <c r="HO29" s="74">
        <v>1</v>
      </c>
      <c r="HP29" s="74">
        <v>1</v>
      </c>
      <c r="HQ29" s="74">
        <v>1</v>
      </c>
      <c r="HR29" s="74">
        <v>1</v>
      </c>
      <c r="HS29" s="74">
        <v>1</v>
      </c>
      <c r="HT29" s="74">
        <v>1</v>
      </c>
      <c r="HU29" s="74">
        <v>1</v>
      </c>
      <c r="HV29" s="74">
        <v>1</v>
      </c>
      <c r="HW29" s="74">
        <v>1</v>
      </c>
      <c r="HX29" s="75">
        <v>1</v>
      </c>
    </row>
    <row r="30" spans="1:232" x14ac:dyDescent="0.2">
      <c r="A30" s="50" t="s">
        <v>124</v>
      </c>
      <c r="B30" s="83" t="s">
        <v>76</v>
      </c>
      <c r="C30" s="80" t="s">
        <v>131</v>
      </c>
      <c r="D30" s="81">
        <v>5.2</v>
      </c>
      <c r="E30" s="80" t="s">
        <v>127</v>
      </c>
      <c r="F30" s="80" t="s">
        <v>122</v>
      </c>
      <c r="G30" s="78">
        <v>1</v>
      </c>
      <c r="H30" s="74">
        <v>1</v>
      </c>
      <c r="I30" s="74">
        <v>1</v>
      </c>
      <c r="J30" s="74">
        <v>1</v>
      </c>
      <c r="K30" s="74">
        <v>1</v>
      </c>
      <c r="L30" s="74">
        <v>1</v>
      </c>
      <c r="M30" s="74">
        <v>1</v>
      </c>
      <c r="N30" s="74">
        <v>1</v>
      </c>
      <c r="O30" s="74">
        <v>1</v>
      </c>
      <c r="P30" s="74">
        <v>1</v>
      </c>
      <c r="Q30" s="74">
        <v>1</v>
      </c>
      <c r="R30" s="74">
        <v>1</v>
      </c>
      <c r="S30" s="74">
        <v>1</v>
      </c>
      <c r="T30" s="74">
        <v>1</v>
      </c>
      <c r="U30" s="74">
        <v>1</v>
      </c>
      <c r="V30" s="74">
        <v>1</v>
      </c>
      <c r="W30" s="74">
        <v>1</v>
      </c>
      <c r="X30" s="74">
        <v>1</v>
      </c>
      <c r="Y30" s="74">
        <v>1</v>
      </c>
      <c r="Z30" s="74">
        <v>1</v>
      </c>
      <c r="AA30" s="74">
        <v>1</v>
      </c>
      <c r="AB30" s="74">
        <v>1</v>
      </c>
      <c r="AC30" s="74">
        <v>1</v>
      </c>
      <c r="AD30" s="74">
        <v>1</v>
      </c>
      <c r="AE30" s="78">
        <v>1</v>
      </c>
      <c r="AF30" s="74">
        <v>1</v>
      </c>
      <c r="AG30" s="74">
        <v>1</v>
      </c>
      <c r="AH30" s="74">
        <v>1</v>
      </c>
      <c r="AI30" s="74">
        <v>1</v>
      </c>
      <c r="AJ30" s="74">
        <v>1</v>
      </c>
      <c r="AK30" s="74">
        <v>1</v>
      </c>
      <c r="AL30" s="74">
        <v>1</v>
      </c>
      <c r="AM30" s="74">
        <v>1</v>
      </c>
      <c r="AN30" s="74">
        <v>1</v>
      </c>
      <c r="AO30" s="74">
        <v>1</v>
      </c>
      <c r="AP30" s="74">
        <v>1</v>
      </c>
      <c r="AQ30" s="74">
        <v>1</v>
      </c>
      <c r="AR30" s="74">
        <v>1</v>
      </c>
      <c r="AS30" s="74">
        <v>1</v>
      </c>
      <c r="AT30" s="74">
        <v>1</v>
      </c>
      <c r="AU30" s="74">
        <v>1</v>
      </c>
      <c r="AV30" s="74">
        <v>1</v>
      </c>
      <c r="AW30" s="74">
        <v>1</v>
      </c>
      <c r="AX30" s="74">
        <v>1</v>
      </c>
      <c r="AY30" s="74">
        <v>1</v>
      </c>
      <c r="AZ30" s="74">
        <v>1</v>
      </c>
      <c r="BA30" s="74">
        <v>0</v>
      </c>
      <c r="BB30" s="74">
        <v>0</v>
      </c>
      <c r="BC30" s="78">
        <v>0</v>
      </c>
      <c r="BD30" s="74">
        <v>0</v>
      </c>
      <c r="BE30" s="74">
        <v>0</v>
      </c>
      <c r="BF30" s="74">
        <v>0</v>
      </c>
      <c r="BG30" s="74">
        <v>0</v>
      </c>
      <c r="BH30" s="74">
        <v>0</v>
      </c>
      <c r="BI30" s="74">
        <v>0</v>
      </c>
      <c r="BJ30" s="74">
        <v>0</v>
      </c>
      <c r="BK30" s="74">
        <v>0</v>
      </c>
      <c r="BL30" s="74">
        <v>1</v>
      </c>
      <c r="BM30" s="74">
        <v>1</v>
      </c>
      <c r="BN30" s="74">
        <v>1</v>
      </c>
      <c r="BO30" s="74">
        <v>1</v>
      </c>
      <c r="BP30" s="74">
        <v>1</v>
      </c>
      <c r="BQ30" s="74">
        <v>1</v>
      </c>
      <c r="BR30" s="74">
        <v>1</v>
      </c>
      <c r="BS30" s="74">
        <v>1</v>
      </c>
      <c r="BT30" s="74">
        <v>1</v>
      </c>
      <c r="BU30" s="74">
        <v>1</v>
      </c>
      <c r="BV30" s="74">
        <v>1</v>
      </c>
      <c r="BW30" s="74">
        <v>1</v>
      </c>
      <c r="BX30" s="74">
        <v>1</v>
      </c>
      <c r="BY30" s="74">
        <v>0</v>
      </c>
      <c r="BZ30" s="74">
        <v>0</v>
      </c>
      <c r="CA30" s="78">
        <v>0</v>
      </c>
      <c r="CB30" s="74">
        <v>0</v>
      </c>
      <c r="CC30" s="74">
        <v>0</v>
      </c>
      <c r="CD30" s="74">
        <v>0</v>
      </c>
      <c r="CE30" s="74">
        <v>0</v>
      </c>
      <c r="CF30" s="74">
        <v>0</v>
      </c>
      <c r="CG30" s="74">
        <v>0</v>
      </c>
      <c r="CH30" s="74">
        <v>0</v>
      </c>
      <c r="CI30" s="74">
        <v>0</v>
      </c>
      <c r="CJ30" s="74">
        <v>1</v>
      </c>
      <c r="CK30" s="74">
        <v>1</v>
      </c>
      <c r="CL30" s="74">
        <v>1</v>
      </c>
      <c r="CM30" s="74">
        <v>1</v>
      </c>
      <c r="CN30" s="74">
        <v>1</v>
      </c>
      <c r="CO30" s="74">
        <v>1</v>
      </c>
      <c r="CP30" s="74">
        <v>1</v>
      </c>
      <c r="CQ30" s="74">
        <v>1</v>
      </c>
      <c r="CR30" s="74">
        <v>1</v>
      </c>
      <c r="CS30" s="74">
        <v>1</v>
      </c>
      <c r="CT30" s="74">
        <v>1</v>
      </c>
      <c r="CU30" s="74">
        <v>1</v>
      </c>
      <c r="CV30" s="74">
        <v>1</v>
      </c>
      <c r="CW30" s="74">
        <v>0</v>
      </c>
      <c r="CX30" s="74">
        <v>0</v>
      </c>
      <c r="CY30" s="78">
        <v>0</v>
      </c>
      <c r="CZ30" s="74">
        <v>0</v>
      </c>
      <c r="DA30" s="74">
        <v>0</v>
      </c>
      <c r="DB30" s="74">
        <v>0</v>
      </c>
      <c r="DC30" s="74">
        <v>0</v>
      </c>
      <c r="DD30" s="74">
        <v>0</v>
      </c>
      <c r="DE30" s="74">
        <v>0</v>
      </c>
      <c r="DF30" s="74">
        <v>0</v>
      </c>
      <c r="DG30" s="74">
        <v>0</v>
      </c>
      <c r="DH30" s="74">
        <v>1</v>
      </c>
      <c r="DI30" s="74">
        <v>1</v>
      </c>
      <c r="DJ30" s="74">
        <v>1</v>
      </c>
      <c r="DK30" s="74">
        <v>1</v>
      </c>
      <c r="DL30" s="74">
        <v>1</v>
      </c>
      <c r="DM30" s="74">
        <v>1</v>
      </c>
      <c r="DN30" s="74">
        <v>1</v>
      </c>
      <c r="DO30" s="74">
        <v>1</v>
      </c>
      <c r="DP30" s="74">
        <v>1</v>
      </c>
      <c r="DQ30" s="74">
        <v>1</v>
      </c>
      <c r="DR30" s="74">
        <v>1</v>
      </c>
      <c r="DS30" s="74">
        <v>1</v>
      </c>
      <c r="DT30" s="74">
        <v>1</v>
      </c>
      <c r="DU30" s="74">
        <v>0</v>
      </c>
      <c r="DV30" s="74">
        <v>0</v>
      </c>
      <c r="DW30" s="78">
        <v>0</v>
      </c>
      <c r="DX30" s="74">
        <v>0</v>
      </c>
      <c r="DY30" s="74">
        <v>0</v>
      </c>
      <c r="DZ30" s="74">
        <v>0</v>
      </c>
      <c r="EA30" s="74">
        <v>0</v>
      </c>
      <c r="EB30" s="74">
        <v>0</v>
      </c>
      <c r="EC30" s="74">
        <v>0</v>
      </c>
      <c r="ED30" s="74">
        <v>0</v>
      </c>
      <c r="EE30" s="74">
        <v>0</v>
      </c>
      <c r="EF30" s="74">
        <v>1</v>
      </c>
      <c r="EG30" s="74">
        <v>1</v>
      </c>
      <c r="EH30" s="74">
        <v>1</v>
      </c>
      <c r="EI30" s="74">
        <v>1</v>
      </c>
      <c r="EJ30" s="74">
        <v>1</v>
      </c>
      <c r="EK30" s="74">
        <v>1</v>
      </c>
      <c r="EL30" s="74">
        <v>1</v>
      </c>
      <c r="EM30" s="74">
        <v>1</v>
      </c>
      <c r="EN30" s="74">
        <v>1</v>
      </c>
      <c r="EO30" s="74">
        <v>1</v>
      </c>
      <c r="EP30" s="74">
        <v>1</v>
      </c>
      <c r="EQ30" s="74">
        <v>1</v>
      </c>
      <c r="ER30" s="74">
        <v>1</v>
      </c>
      <c r="ES30" s="74">
        <v>0</v>
      </c>
      <c r="ET30" s="74">
        <v>0</v>
      </c>
      <c r="EU30" s="78">
        <v>0</v>
      </c>
      <c r="EV30" s="74">
        <v>0</v>
      </c>
      <c r="EW30" s="74">
        <v>0</v>
      </c>
      <c r="EX30" s="74">
        <v>0</v>
      </c>
      <c r="EY30" s="74">
        <v>0</v>
      </c>
      <c r="EZ30" s="74">
        <v>0</v>
      </c>
      <c r="FA30" s="74">
        <v>0</v>
      </c>
      <c r="FB30" s="74">
        <v>0</v>
      </c>
      <c r="FC30" s="74">
        <v>0</v>
      </c>
      <c r="FD30" s="74">
        <v>1</v>
      </c>
      <c r="FE30" s="74">
        <v>1</v>
      </c>
      <c r="FF30" s="74">
        <v>1</v>
      </c>
      <c r="FG30" s="74">
        <v>1</v>
      </c>
      <c r="FH30" s="74">
        <v>1</v>
      </c>
      <c r="FI30" s="74">
        <v>1</v>
      </c>
      <c r="FJ30" s="74">
        <v>1</v>
      </c>
      <c r="FK30" s="74">
        <v>1</v>
      </c>
      <c r="FL30" s="74">
        <v>1</v>
      </c>
      <c r="FM30" s="74">
        <v>1</v>
      </c>
      <c r="FN30" s="74">
        <v>1</v>
      </c>
      <c r="FO30" s="74">
        <v>1</v>
      </c>
      <c r="FP30" s="74">
        <v>1</v>
      </c>
      <c r="FQ30" s="74">
        <v>0</v>
      </c>
      <c r="FR30" s="74">
        <v>0</v>
      </c>
      <c r="FS30" s="78">
        <v>0</v>
      </c>
      <c r="FT30" s="74">
        <v>0</v>
      </c>
      <c r="FU30" s="74">
        <v>0</v>
      </c>
      <c r="FV30" s="74">
        <v>0</v>
      </c>
      <c r="FW30" s="74">
        <v>0</v>
      </c>
      <c r="FX30" s="74">
        <v>0</v>
      </c>
      <c r="FY30" s="74">
        <v>0</v>
      </c>
      <c r="FZ30" s="74">
        <v>0</v>
      </c>
      <c r="GA30" s="74">
        <v>0</v>
      </c>
      <c r="GB30" s="74">
        <v>1</v>
      </c>
      <c r="GC30" s="74">
        <v>1</v>
      </c>
      <c r="GD30" s="74">
        <v>1</v>
      </c>
      <c r="GE30" s="74">
        <v>1</v>
      </c>
      <c r="GF30" s="74">
        <v>1</v>
      </c>
      <c r="GG30" s="74">
        <v>1</v>
      </c>
      <c r="GH30" s="74">
        <v>1</v>
      </c>
      <c r="GI30" s="74">
        <v>1</v>
      </c>
      <c r="GJ30" s="74">
        <v>1</v>
      </c>
      <c r="GK30" s="74">
        <v>1</v>
      </c>
      <c r="GL30" s="74">
        <v>1</v>
      </c>
      <c r="GM30" s="74">
        <v>1</v>
      </c>
      <c r="GN30" s="74">
        <v>1</v>
      </c>
      <c r="GO30" s="74">
        <v>0</v>
      </c>
      <c r="GP30" s="74">
        <v>0</v>
      </c>
      <c r="GQ30" s="78">
        <v>0</v>
      </c>
      <c r="GR30" s="74">
        <v>0</v>
      </c>
      <c r="GS30" s="74">
        <v>0</v>
      </c>
      <c r="GT30" s="74">
        <v>0</v>
      </c>
      <c r="GU30" s="74">
        <v>0</v>
      </c>
      <c r="GV30" s="74">
        <v>0</v>
      </c>
      <c r="GW30" s="74">
        <v>0</v>
      </c>
      <c r="GX30" s="74">
        <v>0</v>
      </c>
      <c r="GY30" s="74">
        <v>0</v>
      </c>
      <c r="GZ30" s="74">
        <v>1</v>
      </c>
      <c r="HA30" s="74">
        <v>1</v>
      </c>
      <c r="HB30" s="74">
        <v>1</v>
      </c>
      <c r="HC30" s="74">
        <v>1</v>
      </c>
      <c r="HD30" s="74">
        <v>1</v>
      </c>
      <c r="HE30" s="74">
        <v>1</v>
      </c>
      <c r="HF30" s="74">
        <v>1</v>
      </c>
      <c r="HG30" s="74">
        <v>1</v>
      </c>
      <c r="HH30" s="74">
        <v>1</v>
      </c>
      <c r="HI30" s="74">
        <v>1</v>
      </c>
      <c r="HJ30" s="74">
        <v>1</v>
      </c>
      <c r="HK30" s="74">
        <v>1</v>
      </c>
      <c r="HL30" s="74">
        <v>1</v>
      </c>
      <c r="HM30" s="74">
        <v>0</v>
      </c>
      <c r="HN30" s="74">
        <v>0</v>
      </c>
      <c r="HO30" s="74">
        <v>0</v>
      </c>
      <c r="HP30" s="74">
        <v>0</v>
      </c>
      <c r="HQ30" s="74">
        <v>0</v>
      </c>
      <c r="HR30" s="74">
        <v>0</v>
      </c>
      <c r="HS30" s="74">
        <v>0</v>
      </c>
      <c r="HT30" s="74">
        <v>0</v>
      </c>
      <c r="HU30" s="74">
        <v>0</v>
      </c>
      <c r="HV30" s="74">
        <v>0</v>
      </c>
      <c r="HW30" s="74">
        <v>0</v>
      </c>
      <c r="HX30" s="75">
        <v>1</v>
      </c>
    </row>
    <row r="31" spans="1:232" x14ac:dyDescent="0.2">
      <c r="A31" s="50" t="s">
        <v>124</v>
      </c>
      <c r="B31" s="82" t="s">
        <v>77</v>
      </c>
      <c r="C31" s="80" t="s">
        <v>131</v>
      </c>
      <c r="D31" s="81">
        <v>5.2</v>
      </c>
      <c r="E31" s="80" t="s">
        <v>127</v>
      </c>
      <c r="F31" s="80" t="s">
        <v>122</v>
      </c>
      <c r="G31" s="78">
        <v>0</v>
      </c>
      <c r="H31" s="74">
        <v>0</v>
      </c>
      <c r="I31" s="74">
        <v>0</v>
      </c>
      <c r="J31" s="74">
        <v>0</v>
      </c>
      <c r="K31" s="74">
        <v>0</v>
      </c>
      <c r="L31" s="74">
        <v>0</v>
      </c>
      <c r="M31" s="74">
        <v>0</v>
      </c>
      <c r="N31" s="74">
        <v>0</v>
      </c>
      <c r="O31" s="74">
        <v>0</v>
      </c>
      <c r="P31" s="74">
        <v>0</v>
      </c>
      <c r="Q31" s="74">
        <v>0</v>
      </c>
      <c r="R31" s="74">
        <v>0</v>
      </c>
      <c r="S31" s="74">
        <v>0</v>
      </c>
      <c r="T31" s="74">
        <v>0</v>
      </c>
      <c r="U31" s="74">
        <v>0</v>
      </c>
      <c r="V31" s="74">
        <v>0</v>
      </c>
      <c r="W31" s="74">
        <v>0</v>
      </c>
      <c r="X31" s="74">
        <v>0</v>
      </c>
      <c r="Y31" s="74">
        <v>0</v>
      </c>
      <c r="Z31" s="74">
        <v>0</v>
      </c>
      <c r="AA31" s="74">
        <v>0</v>
      </c>
      <c r="AB31" s="74">
        <v>0</v>
      </c>
      <c r="AC31" s="74">
        <v>0</v>
      </c>
      <c r="AD31" s="74">
        <v>0</v>
      </c>
      <c r="AE31" s="78">
        <v>0</v>
      </c>
      <c r="AF31" s="74">
        <v>0</v>
      </c>
      <c r="AG31" s="74">
        <v>0</v>
      </c>
      <c r="AH31" s="74">
        <v>0</v>
      </c>
      <c r="AI31" s="74">
        <v>0</v>
      </c>
      <c r="AJ31" s="74">
        <v>0</v>
      </c>
      <c r="AK31" s="74">
        <v>0</v>
      </c>
      <c r="AL31" s="74">
        <v>0</v>
      </c>
      <c r="AM31" s="74">
        <v>0</v>
      </c>
      <c r="AN31" s="74">
        <v>0</v>
      </c>
      <c r="AO31" s="74">
        <v>0</v>
      </c>
      <c r="AP31" s="74">
        <v>0</v>
      </c>
      <c r="AQ31" s="74">
        <v>0</v>
      </c>
      <c r="AR31" s="74">
        <v>0</v>
      </c>
      <c r="AS31" s="74">
        <v>0</v>
      </c>
      <c r="AT31" s="74">
        <v>0</v>
      </c>
      <c r="AU31" s="74">
        <v>0</v>
      </c>
      <c r="AV31" s="74">
        <v>0</v>
      </c>
      <c r="AW31" s="74">
        <v>0</v>
      </c>
      <c r="AX31" s="74">
        <v>0</v>
      </c>
      <c r="AY31" s="74">
        <v>0</v>
      </c>
      <c r="AZ31" s="74">
        <v>0</v>
      </c>
      <c r="BA31" s="74">
        <v>1</v>
      </c>
      <c r="BB31" s="74">
        <v>1</v>
      </c>
      <c r="BC31" s="78">
        <v>1</v>
      </c>
      <c r="BD31" s="74">
        <v>1</v>
      </c>
      <c r="BE31" s="74">
        <v>1</v>
      </c>
      <c r="BF31" s="74">
        <v>1</v>
      </c>
      <c r="BG31" s="74">
        <v>1</v>
      </c>
      <c r="BH31" s="74">
        <v>1</v>
      </c>
      <c r="BI31" s="74">
        <v>1</v>
      </c>
      <c r="BJ31" s="74">
        <v>1</v>
      </c>
      <c r="BK31" s="74">
        <v>1</v>
      </c>
      <c r="BL31" s="74">
        <v>1</v>
      </c>
      <c r="BM31" s="74">
        <v>1</v>
      </c>
      <c r="BN31" s="74">
        <v>1</v>
      </c>
      <c r="BO31" s="74">
        <v>1</v>
      </c>
      <c r="BP31" s="74">
        <v>1</v>
      </c>
      <c r="BQ31" s="74">
        <v>1</v>
      </c>
      <c r="BR31" s="74">
        <v>1</v>
      </c>
      <c r="BS31" s="74">
        <v>1</v>
      </c>
      <c r="BT31" s="74">
        <v>1</v>
      </c>
      <c r="BU31" s="74">
        <v>1</v>
      </c>
      <c r="BV31" s="74">
        <v>1</v>
      </c>
      <c r="BW31" s="74">
        <v>1</v>
      </c>
      <c r="BX31" s="74">
        <v>1</v>
      </c>
      <c r="BY31" s="74">
        <v>1</v>
      </c>
      <c r="BZ31" s="74">
        <v>1</v>
      </c>
      <c r="CA31" s="78">
        <v>1</v>
      </c>
      <c r="CB31" s="74">
        <v>1</v>
      </c>
      <c r="CC31" s="74">
        <v>1</v>
      </c>
      <c r="CD31" s="74">
        <v>1</v>
      </c>
      <c r="CE31" s="74">
        <v>1</v>
      </c>
      <c r="CF31" s="74">
        <v>1</v>
      </c>
      <c r="CG31" s="74">
        <v>1</v>
      </c>
      <c r="CH31" s="74">
        <v>1</v>
      </c>
      <c r="CI31" s="74">
        <v>1</v>
      </c>
      <c r="CJ31" s="74">
        <v>1</v>
      </c>
      <c r="CK31" s="74">
        <v>1</v>
      </c>
      <c r="CL31" s="74">
        <v>1</v>
      </c>
      <c r="CM31" s="74">
        <v>1</v>
      </c>
      <c r="CN31" s="74">
        <v>1</v>
      </c>
      <c r="CO31" s="74">
        <v>1</v>
      </c>
      <c r="CP31" s="74">
        <v>1</v>
      </c>
      <c r="CQ31" s="74">
        <v>1</v>
      </c>
      <c r="CR31" s="74">
        <v>1</v>
      </c>
      <c r="CS31" s="74">
        <v>1</v>
      </c>
      <c r="CT31" s="74">
        <v>1</v>
      </c>
      <c r="CU31" s="74">
        <v>1</v>
      </c>
      <c r="CV31" s="74">
        <v>1</v>
      </c>
      <c r="CW31" s="74">
        <v>1</v>
      </c>
      <c r="CX31" s="74">
        <v>1</v>
      </c>
      <c r="CY31" s="78">
        <v>1</v>
      </c>
      <c r="CZ31" s="74">
        <v>1</v>
      </c>
      <c r="DA31" s="74">
        <v>1</v>
      </c>
      <c r="DB31" s="74">
        <v>1</v>
      </c>
      <c r="DC31" s="74">
        <v>1</v>
      </c>
      <c r="DD31" s="74">
        <v>1</v>
      </c>
      <c r="DE31" s="74">
        <v>1</v>
      </c>
      <c r="DF31" s="74">
        <v>1</v>
      </c>
      <c r="DG31" s="74">
        <v>1</v>
      </c>
      <c r="DH31" s="74">
        <v>1</v>
      </c>
      <c r="DI31" s="74">
        <v>1</v>
      </c>
      <c r="DJ31" s="74">
        <v>1</v>
      </c>
      <c r="DK31" s="74">
        <v>1</v>
      </c>
      <c r="DL31" s="74">
        <v>1</v>
      </c>
      <c r="DM31" s="74">
        <v>1</v>
      </c>
      <c r="DN31" s="74">
        <v>1</v>
      </c>
      <c r="DO31" s="74">
        <v>1</v>
      </c>
      <c r="DP31" s="74">
        <v>1</v>
      </c>
      <c r="DQ31" s="74">
        <v>1</v>
      </c>
      <c r="DR31" s="74">
        <v>1</v>
      </c>
      <c r="DS31" s="74">
        <v>1</v>
      </c>
      <c r="DT31" s="74">
        <v>1</v>
      </c>
      <c r="DU31" s="74">
        <v>1</v>
      </c>
      <c r="DV31" s="74">
        <v>1</v>
      </c>
      <c r="DW31" s="78">
        <v>1</v>
      </c>
      <c r="DX31" s="74">
        <v>1</v>
      </c>
      <c r="DY31" s="74">
        <v>1</v>
      </c>
      <c r="DZ31" s="74">
        <v>1</v>
      </c>
      <c r="EA31" s="74">
        <v>1</v>
      </c>
      <c r="EB31" s="74">
        <v>1</v>
      </c>
      <c r="EC31" s="74">
        <v>1</v>
      </c>
      <c r="ED31" s="74">
        <v>1</v>
      </c>
      <c r="EE31" s="74">
        <v>1</v>
      </c>
      <c r="EF31" s="74">
        <v>1</v>
      </c>
      <c r="EG31" s="74">
        <v>1</v>
      </c>
      <c r="EH31" s="74">
        <v>1</v>
      </c>
      <c r="EI31" s="74">
        <v>1</v>
      </c>
      <c r="EJ31" s="74">
        <v>1</v>
      </c>
      <c r="EK31" s="74">
        <v>1</v>
      </c>
      <c r="EL31" s="74">
        <v>1</v>
      </c>
      <c r="EM31" s="74">
        <v>1</v>
      </c>
      <c r="EN31" s="74">
        <v>1</v>
      </c>
      <c r="EO31" s="74">
        <v>1</v>
      </c>
      <c r="EP31" s="74">
        <v>1</v>
      </c>
      <c r="EQ31" s="74">
        <v>1</v>
      </c>
      <c r="ER31" s="74">
        <v>1</v>
      </c>
      <c r="ES31" s="74">
        <v>1</v>
      </c>
      <c r="ET31" s="74">
        <v>1</v>
      </c>
      <c r="EU31" s="78">
        <v>1</v>
      </c>
      <c r="EV31" s="74">
        <v>1</v>
      </c>
      <c r="EW31" s="74">
        <v>1</v>
      </c>
      <c r="EX31" s="74">
        <v>1</v>
      </c>
      <c r="EY31" s="74">
        <v>1</v>
      </c>
      <c r="EZ31" s="74">
        <v>1</v>
      </c>
      <c r="FA31" s="74">
        <v>1</v>
      </c>
      <c r="FB31" s="74">
        <v>1</v>
      </c>
      <c r="FC31" s="74">
        <v>1</v>
      </c>
      <c r="FD31" s="74">
        <v>1</v>
      </c>
      <c r="FE31" s="74">
        <v>1</v>
      </c>
      <c r="FF31" s="74">
        <v>1</v>
      </c>
      <c r="FG31" s="74">
        <v>1</v>
      </c>
      <c r="FH31" s="74">
        <v>1</v>
      </c>
      <c r="FI31" s="74">
        <v>1</v>
      </c>
      <c r="FJ31" s="74">
        <v>1</v>
      </c>
      <c r="FK31" s="74">
        <v>1</v>
      </c>
      <c r="FL31" s="74">
        <v>1</v>
      </c>
      <c r="FM31" s="74">
        <v>1</v>
      </c>
      <c r="FN31" s="74">
        <v>1</v>
      </c>
      <c r="FO31" s="74">
        <v>1</v>
      </c>
      <c r="FP31" s="74">
        <v>1</v>
      </c>
      <c r="FQ31" s="74">
        <v>1</v>
      </c>
      <c r="FR31" s="74">
        <v>1</v>
      </c>
      <c r="FS31" s="78">
        <v>1</v>
      </c>
      <c r="FT31" s="74">
        <v>1</v>
      </c>
      <c r="FU31" s="74">
        <v>1</v>
      </c>
      <c r="FV31" s="74">
        <v>1</v>
      </c>
      <c r="FW31" s="74">
        <v>1</v>
      </c>
      <c r="FX31" s="74">
        <v>1</v>
      </c>
      <c r="FY31" s="74">
        <v>1</v>
      </c>
      <c r="FZ31" s="74">
        <v>1</v>
      </c>
      <c r="GA31" s="74">
        <v>1</v>
      </c>
      <c r="GB31" s="74">
        <v>1</v>
      </c>
      <c r="GC31" s="74">
        <v>1</v>
      </c>
      <c r="GD31" s="74">
        <v>1</v>
      </c>
      <c r="GE31" s="74">
        <v>1</v>
      </c>
      <c r="GF31" s="74">
        <v>1</v>
      </c>
      <c r="GG31" s="74">
        <v>1</v>
      </c>
      <c r="GH31" s="74">
        <v>1</v>
      </c>
      <c r="GI31" s="74">
        <v>1</v>
      </c>
      <c r="GJ31" s="74">
        <v>1</v>
      </c>
      <c r="GK31" s="74">
        <v>1</v>
      </c>
      <c r="GL31" s="74">
        <v>1</v>
      </c>
      <c r="GM31" s="74">
        <v>1</v>
      </c>
      <c r="GN31" s="74">
        <v>1</v>
      </c>
      <c r="GO31" s="74">
        <v>1</v>
      </c>
      <c r="GP31" s="74">
        <v>1</v>
      </c>
      <c r="GQ31" s="78">
        <v>1</v>
      </c>
      <c r="GR31" s="74">
        <v>1</v>
      </c>
      <c r="GS31" s="74">
        <v>1</v>
      </c>
      <c r="GT31" s="74">
        <v>1</v>
      </c>
      <c r="GU31" s="74">
        <v>1</v>
      </c>
      <c r="GV31" s="74">
        <v>1</v>
      </c>
      <c r="GW31" s="74">
        <v>1</v>
      </c>
      <c r="GX31" s="74">
        <v>1</v>
      </c>
      <c r="GY31" s="74">
        <v>1</v>
      </c>
      <c r="GZ31" s="74">
        <v>1</v>
      </c>
      <c r="HA31" s="74">
        <v>1</v>
      </c>
      <c r="HB31" s="74">
        <v>1</v>
      </c>
      <c r="HC31" s="74">
        <v>1</v>
      </c>
      <c r="HD31" s="74">
        <v>1</v>
      </c>
      <c r="HE31" s="74">
        <v>1</v>
      </c>
      <c r="HF31" s="74">
        <v>1</v>
      </c>
      <c r="HG31" s="74">
        <v>1</v>
      </c>
      <c r="HH31" s="74">
        <v>1</v>
      </c>
      <c r="HI31" s="74">
        <v>1</v>
      </c>
      <c r="HJ31" s="74">
        <v>1</v>
      </c>
      <c r="HK31" s="74">
        <v>1</v>
      </c>
      <c r="HL31" s="74">
        <v>1</v>
      </c>
      <c r="HM31" s="74">
        <v>1</v>
      </c>
      <c r="HN31" s="74">
        <v>1</v>
      </c>
      <c r="HO31" s="74">
        <v>1</v>
      </c>
      <c r="HP31" s="74">
        <v>1</v>
      </c>
      <c r="HQ31" s="74">
        <v>1</v>
      </c>
      <c r="HR31" s="74">
        <v>1</v>
      </c>
      <c r="HS31" s="74">
        <v>1</v>
      </c>
      <c r="HT31" s="74">
        <v>1</v>
      </c>
      <c r="HU31" s="74">
        <v>1</v>
      </c>
      <c r="HV31" s="74">
        <v>1</v>
      </c>
      <c r="HW31" s="74">
        <v>1</v>
      </c>
      <c r="HX31" s="75">
        <v>1</v>
      </c>
    </row>
    <row r="32" spans="1:232" x14ac:dyDescent="0.2">
      <c r="B32" s="80" t="s">
        <v>78</v>
      </c>
      <c r="C32" s="80" t="s">
        <v>132</v>
      </c>
      <c r="D32" s="81">
        <v>5.2</v>
      </c>
      <c r="E32" s="80" t="s">
        <v>128</v>
      </c>
      <c r="F32" s="80" t="s">
        <v>124</v>
      </c>
      <c r="G32" s="78">
        <v>1</v>
      </c>
      <c r="H32" s="74">
        <v>1</v>
      </c>
      <c r="I32" s="74">
        <v>1</v>
      </c>
      <c r="J32" s="74">
        <v>1</v>
      </c>
      <c r="K32" s="74">
        <v>1</v>
      </c>
      <c r="L32" s="74">
        <v>1</v>
      </c>
      <c r="M32" s="74">
        <v>1</v>
      </c>
      <c r="N32" s="74">
        <v>1</v>
      </c>
      <c r="O32" s="74">
        <v>1</v>
      </c>
      <c r="P32" s="74">
        <v>1</v>
      </c>
      <c r="Q32" s="74">
        <v>1</v>
      </c>
      <c r="R32" s="74">
        <v>1</v>
      </c>
      <c r="S32" s="74">
        <v>1</v>
      </c>
      <c r="T32" s="74">
        <v>1</v>
      </c>
      <c r="U32" s="74">
        <v>1</v>
      </c>
      <c r="V32" s="74">
        <v>1</v>
      </c>
      <c r="W32" s="74">
        <v>1</v>
      </c>
      <c r="X32" s="74">
        <v>1</v>
      </c>
      <c r="Y32" s="74">
        <v>1</v>
      </c>
      <c r="Z32" s="74">
        <v>1</v>
      </c>
      <c r="AA32" s="74">
        <v>1</v>
      </c>
      <c r="AB32" s="74">
        <v>1</v>
      </c>
      <c r="AC32" s="74">
        <v>1</v>
      </c>
      <c r="AD32" s="74">
        <v>1</v>
      </c>
      <c r="AE32" s="78">
        <v>1</v>
      </c>
      <c r="AF32" s="74">
        <v>1</v>
      </c>
      <c r="AG32" s="74">
        <v>1</v>
      </c>
      <c r="AH32" s="74">
        <v>1</v>
      </c>
      <c r="AI32" s="74">
        <v>1</v>
      </c>
      <c r="AJ32" s="74">
        <v>1</v>
      </c>
      <c r="AK32" s="74">
        <v>1</v>
      </c>
      <c r="AL32" s="74">
        <v>1</v>
      </c>
      <c r="AM32" s="74">
        <v>1</v>
      </c>
      <c r="AN32" s="74">
        <v>1</v>
      </c>
      <c r="AO32" s="74">
        <v>1</v>
      </c>
      <c r="AP32" s="74">
        <v>1</v>
      </c>
      <c r="AQ32" s="74">
        <v>1</v>
      </c>
      <c r="AR32" s="74">
        <v>1</v>
      </c>
      <c r="AS32" s="74">
        <v>1</v>
      </c>
      <c r="AT32" s="74">
        <v>1</v>
      </c>
      <c r="AU32" s="74">
        <v>1</v>
      </c>
      <c r="AV32" s="74">
        <v>1</v>
      </c>
      <c r="AW32" s="74">
        <v>1</v>
      </c>
      <c r="AX32" s="74">
        <v>1</v>
      </c>
      <c r="AY32" s="74">
        <v>1</v>
      </c>
      <c r="AZ32" s="74">
        <v>1</v>
      </c>
      <c r="BA32" s="74">
        <v>1</v>
      </c>
      <c r="BB32" s="74">
        <v>1</v>
      </c>
      <c r="BC32" s="78">
        <v>1</v>
      </c>
      <c r="BD32" s="74">
        <v>1</v>
      </c>
      <c r="BE32" s="74">
        <v>1</v>
      </c>
      <c r="BF32" s="74">
        <v>1</v>
      </c>
      <c r="BG32" s="74">
        <v>1</v>
      </c>
      <c r="BH32" s="74">
        <v>1</v>
      </c>
      <c r="BI32" s="74">
        <v>1</v>
      </c>
      <c r="BJ32" s="74">
        <v>1</v>
      </c>
      <c r="BK32" s="74">
        <v>1</v>
      </c>
      <c r="BL32" s="74">
        <v>1</v>
      </c>
      <c r="BM32" s="74">
        <v>1</v>
      </c>
      <c r="BN32" s="74">
        <v>1</v>
      </c>
      <c r="BO32" s="74">
        <v>1</v>
      </c>
      <c r="BP32" s="74">
        <v>1</v>
      </c>
      <c r="BQ32" s="74">
        <v>1</v>
      </c>
      <c r="BR32" s="74">
        <v>1</v>
      </c>
      <c r="BS32" s="74">
        <v>1</v>
      </c>
      <c r="BT32" s="74">
        <v>1</v>
      </c>
      <c r="BU32" s="74">
        <v>1</v>
      </c>
      <c r="BV32" s="74">
        <v>1</v>
      </c>
      <c r="BW32" s="74">
        <v>1</v>
      </c>
      <c r="BX32" s="74">
        <v>1</v>
      </c>
      <c r="BY32" s="74">
        <v>1</v>
      </c>
      <c r="BZ32" s="74">
        <v>1</v>
      </c>
      <c r="CA32" s="78">
        <v>1</v>
      </c>
      <c r="CB32" s="74">
        <v>1</v>
      </c>
      <c r="CC32" s="74">
        <v>1</v>
      </c>
      <c r="CD32" s="74">
        <v>1</v>
      </c>
      <c r="CE32" s="74">
        <v>1</v>
      </c>
      <c r="CF32" s="74">
        <v>1</v>
      </c>
      <c r="CG32" s="74">
        <v>1</v>
      </c>
      <c r="CH32" s="74">
        <v>1</v>
      </c>
      <c r="CI32" s="74">
        <v>1</v>
      </c>
      <c r="CJ32" s="74">
        <v>1</v>
      </c>
      <c r="CK32" s="74">
        <v>1</v>
      </c>
      <c r="CL32" s="74">
        <v>1</v>
      </c>
      <c r="CM32" s="74">
        <v>1</v>
      </c>
      <c r="CN32" s="74">
        <v>1</v>
      </c>
      <c r="CO32" s="74">
        <v>1</v>
      </c>
      <c r="CP32" s="74">
        <v>1</v>
      </c>
      <c r="CQ32" s="74">
        <v>1</v>
      </c>
      <c r="CR32" s="74">
        <v>1</v>
      </c>
      <c r="CS32" s="74">
        <v>1</v>
      </c>
      <c r="CT32" s="74">
        <v>1</v>
      </c>
      <c r="CU32" s="74">
        <v>1</v>
      </c>
      <c r="CV32" s="74">
        <v>1</v>
      </c>
      <c r="CW32" s="74">
        <v>1</v>
      </c>
      <c r="CX32" s="74">
        <v>1</v>
      </c>
      <c r="CY32" s="78">
        <v>1</v>
      </c>
      <c r="CZ32" s="74">
        <v>1</v>
      </c>
      <c r="DA32" s="74">
        <v>1</v>
      </c>
      <c r="DB32" s="74">
        <v>1</v>
      </c>
      <c r="DC32" s="74">
        <v>1</v>
      </c>
      <c r="DD32" s="74">
        <v>1</v>
      </c>
      <c r="DE32" s="74">
        <v>1</v>
      </c>
      <c r="DF32" s="74">
        <v>1</v>
      </c>
      <c r="DG32" s="74">
        <v>1</v>
      </c>
      <c r="DH32" s="74">
        <v>1</v>
      </c>
      <c r="DI32" s="74">
        <v>1</v>
      </c>
      <c r="DJ32" s="74">
        <v>1</v>
      </c>
      <c r="DK32" s="74">
        <v>1</v>
      </c>
      <c r="DL32" s="74">
        <v>1</v>
      </c>
      <c r="DM32" s="74">
        <v>1</v>
      </c>
      <c r="DN32" s="74">
        <v>1</v>
      </c>
      <c r="DO32" s="74">
        <v>1</v>
      </c>
      <c r="DP32" s="74">
        <v>1</v>
      </c>
      <c r="DQ32" s="74">
        <v>1</v>
      </c>
      <c r="DR32" s="74">
        <v>1</v>
      </c>
      <c r="DS32" s="74">
        <v>1</v>
      </c>
      <c r="DT32" s="74">
        <v>1</v>
      </c>
      <c r="DU32" s="74">
        <v>1</v>
      </c>
      <c r="DV32" s="74">
        <v>1</v>
      </c>
      <c r="DW32" s="78">
        <v>1</v>
      </c>
      <c r="DX32" s="74">
        <v>1</v>
      </c>
      <c r="DY32" s="74">
        <v>1</v>
      </c>
      <c r="DZ32" s="74">
        <v>1</v>
      </c>
      <c r="EA32" s="74">
        <v>1</v>
      </c>
      <c r="EB32" s="74">
        <v>1</v>
      </c>
      <c r="EC32" s="74">
        <v>1</v>
      </c>
      <c r="ED32" s="74">
        <v>1</v>
      </c>
      <c r="EE32" s="74">
        <v>1</v>
      </c>
      <c r="EF32" s="74">
        <v>1</v>
      </c>
      <c r="EG32" s="74">
        <v>1</v>
      </c>
      <c r="EH32" s="74">
        <v>1</v>
      </c>
      <c r="EI32" s="74">
        <v>1</v>
      </c>
      <c r="EJ32" s="74">
        <v>1</v>
      </c>
      <c r="EK32" s="74">
        <v>1</v>
      </c>
      <c r="EL32" s="74">
        <v>1</v>
      </c>
      <c r="EM32" s="74">
        <v>1</v>
      </c>
      <c r="EN32" s="74">
        <v>1</v>
      </c>
      <c r="EO32" s="74">
        <v>1</v>
      </c>
      <c r="EP32" s="74">
        <v>1</v>
      </c>
      <c r="EQ32" s="74">
        <v>1</v>
      </c>
      <c r="ER32" s="74">
        <v>1</v>
      </c>
      <c r="ES32" s="74">
        <v>1</v>
      </c>
      <c r="ET32" s="74">
        <v>1</v>
      </c>
      <c r="EU32" s="78">
        <v>1</v>
      </c>
      <c r="EV32" s="74">
        <v>1</v>
      </c>
      <c r="EW32" s="74">
        <v>1</v>
      </c>
      <c r="EX32" s="74">
        <v>1</v>
      </c>
      <c r="EY32" s="74">
        <v>1</v>
      </c>
      <c r="EZ32" s="74">
        <v>1</v>
      </c>
      <c r="FA32" s="74">
        <v>1</v>
      </c>
      <c r="FB32" s="74">
        <v>1</v>
      </c>
      <c r="FC32" s="74">
        <v>1</v>
      </c>
      <c r="FD32" s="74">
        <v>1</v>
      </c>
      <c r="FE32" s="74">
        <v>1</v>
      </c>
      <c r="FF32" s="74">
        <v>1</v>
      </c>
      <c r="FG32" s="74">
        <v>1</v>
      </c>
      <c r="FH32" s="74">
        <v>1</v>
      </c>
      <c r="FI32" s="74">
        <v>1</v>
      </c>
      <c r="FJ32" s="74">
        <v>1</v>
      </c>
      <c r="FK32" s="74">
        <v>1</v>
      </c>
      <c r="FL32" s="74">
        <v>1</v>
      </c>
      <c r="FM32" s="74">
        <v>1</v>
      </c>
      <c r="FN32" s="74">
        <v>1</v>
      </c>
      <c r="FO32" s="74">
        <v>1</v>
      </c>
      <c r="FP32" s="74">
        <v>1</v>
      </c>
      <c r="FQ32" s="74">
        <v>1</v>
      </c>
      <c r="FR32" s="74">
        <v>1</v>
      </c>
      <c r="FS32" s="78">
        <v>1</v>
      </c>
      <c r="FT32" s="74">
        <v>1</v>
      </c>
      <c r="FU32" s="74">
        <v>1</v>
      </c>
      <c r="FV32" s="74">
        <v>1</v>
      </c>
      <c r="FW32" s="74">
        <v>1</v>
      </c>
      <c r="FX32" s="74">
        <v>1</v>
      </c>
      <c r="FY32" s="74">
        <v>1</v>
      </c>
      <c r="FZ32" s="74">
        <v>1</v>
      </c>
      <c r="GA32" s="74">
        <v>1</v>
      </c>
      <c r="GB32" s="74">
        <v>1</v>
      </c>
      <c r="GC32" s="74">
        <v>1</v>
      </c>
      <c r="GD32" s="74">
        <v>1</v>
      </c>
      <c r="GE32" s="74">
        <v>1</v>
      </c>
      <c r="GF32" s="74">
        <v>1</v>
      </c>
      <c r="GG32" s="74">
        <v>1</v>
      </c>
      <c r="GH32" s="74">
        <v>1</v>
      </c>
      <c r="GI32" s="74">
        <v>1</v>
      </c>
      <c r="GJ32" s="74">
        <v>1</v>
      </c>
      <c r="GK32" s="74">
        <v>1</v>
      </c>
      <c r="GL32" s="74">
        <v>1</v>
      </c>
      <c r="GM32" s="74">
        <v>1</v>
      </c>
      <c r="GN32" s="74">
        <v>1</v>
      </c>
      <c r="GO32" s="74">
        <v>1</v>
      </c>
      <c r="GP32" s="74">
        <v>1</v>
      </c>
      <c r="GQ32" s="78">
        <v>1</v>
      </c>
      <c r="GR32" s="74">
        <v>1</v>
      </c>
      <c r="GS32" s="74">
        <v>1</v>
      </c>
      <c r="GT32" s="74">
        <v>1</v>
      </c>
      <c r="GU32" s="74">
        <v>1</v>
      </c>
      <c r="GV32" s="74">
        <v>1</v>
      </c>
      <c r="GW32" s="74">
        <v>1</v>
      </c>
      <c r="GX32" s="74">
        <v>1</v>
      </c>
      <c r="GY32" s="74">
        <v>1</v>
      </c>
      <c r="GZ32" s="74">
        <v>1</v>
      </c>
      <c r="HA32" s="74">
        <v>1</v>
      </c>
      <c r="HB32" s="74">
        <v>1</v>
      </c>
      <c r="HC32" s="74">
        <v>1</v>
      </c>
      <c r="HD32" s="74">
        <v>1</v>
      </c>
      <c r="HE32" s="74">
        <v>1</v>
      </c>
      <c r="HF32" s="74">
        <v>1</v>
      </c>
      <c r="HG32" s="74">
        <v>1</v>
      </c>
      <c r="HH32" s="74">
        <v>1</v>
      </c>
      <c r="HI32" s="74">
        <v>1</v>
      </c>
      <c r="HJ32" s="74">
        <v>1</v>
      </c>
      <c r="HK32" s="74">
        <v>1</v>
      </c>
      <c r="HL32" s="74">
        <v>1</v>
      </c>
      <c r="HM32" s="74">
        <v>1</v>
      </c>
      <c r="HN32" s="74">
        <v>1</v>
      </c>
      <c r="HO32" s="74">
        <v>1</v>
      </c>
      <c r="HP32" s="74">
        <v>1</v>
      </c>
      <c r="HQ32" s="74">
        <v>1</v>
      </c>
      <c r="HR32" s="74">
        <v>1</v>
      </c>
      <c r="HS32" s="74">
        <v>1</v>
      </c>
      <c r="HT32" s="74">
        <v>1</v>
      </c>
      <c r="HU32" s="74">
        <v>1</v>
      </c>
      <c r="HV32" s="74">
        <v>1</v>
      </c>
      <c r="HW32" s="74">
        <v>1</v>
      </c>
      <c r="HX32" s="75">
        <v>1</v>
      </c>
    </row>
    <row r="33" spans="1:232" x14ac:dyDescent="0.2">
      <c r="B33" s="103" t="s">
        <v>79</v>
      </c>
      <c r="C33" s="107" t="s">
        <v>132</v>
      </c>
      <c r="D33" s="108">
        <v>5.2</v>
      </c>
      <c r="E33" s="107" t="s">
        <v>128</v>
      </c>
      <c r="F33" s="107" t="s">
        <v>124</v>
      </c>
      <c r="G33" s="78">
        <v>1</v>
      </c>
      <c r="H33" s="74">
        <v>1</v>
      </c>
      <c r="I33" s="74">
        <v>1</v>
      </c>
      <c r="J33" s="74">
        <v>1</v>
      </c>
      <c r="K33" s="74">
        <v>1</v>
      </c>
      <c r="L33" s="74">
        <v>1</v>
      </c>
      <c r="M33" s="74">
        <v>1</v>
      </c>
      <c r="N33" s="74">
        <v>1</v>
      </c>
      <c r="O33" s="74">
        <v>1</v>
      </c>
      <c r="P33" s="74">
        <v>1</v>
      </c>
      <c r="Q33" s="74">
        <v>1</v>
      </c>
      <c r="R33" s="74">
        <v>1</v>
      </c>
      <c r="S33" s="74">
        <v>1</v>
      </c>
      <c r="T33" s="74">
        <v>1</v>
      </c>
      <c r="U33" s="74">
        <v>1</v>
      </c>
      <c r="V33" s="74">
        <v>1</v>
      </c>
      <c r="W33" s="74">
        <v>1</v>
      </c>
      <c r="X33" s="74">
        <v>1</v>
      </c>
      <c r="Y33" s="74">
        <v>1</v>
      </c>
      <c r="Z33" s="74">
        <v>1</v>
      </c>
      <c r="AA33" s="74">
        <v>1</v>
      </c>
      <c r="AB33" s="74">
        <v>1</v>
      </c>
      <c r="AC33" s="74">
        <v>1</v>
      </c>
      <c r="AD33" s="74">
        <v>1</v>
      </c>
      <c r="AE33" s="78">
        <v>1</v>
      </c>
      <c r="AF33" s="74">
        <v>1</v>
      </c>
      <c r="AG33" s="74">
        <v>1</v>
      </c>
      <c r="AH33" s="74">
        <v>1</v>
      </c>
      <c r="AI33" s="74">
        <v>1</v>
      </c>
      <c r="AJ33" s="74">
        <v>1</v>
      </c>
      <c r="AK33" s="74">
        <v>1</v>
      </c>
      <c r="AL33" s="74">
        <v>1</v>
      </c>
      <c r="AM33" s="74">
        <v>1</v>
      </c>
      <c r="AN33" s="74">
        <v>1</v>
      </c>
      <c r="AO33" s="74">
        <v>1</v>
      </c>
      <c r="AP33" s="74">
        <v>1</v>
      </c>
      <c r="AQ33" s="74">
        <v>1</v>
      </c>
      <c r="AR33" s="74">
        <v>1</v>
      </c>
      <c r="AS33" s="74">
        <v>1</v>
      </c>
      <c r="AT33" s="74">
        <v>1</v>
      </c>
      <c r="AU33" s="74">
        <v>1</v>
      </c>
      <c r="AV33" s="74">
        <v>1</v>
      </c>
      <c r="AW33" s="74">
        <v>1</v>
      </c>
      <c r="AX33" s="74">
        <v>1</v>
      </c>
      <c r="AY33" s="74">
        <v>1</v>
      </c>
      <c r="AZ33" s="74">
        <v>1</v>
      </c>
      <c r="BA33" s="74">
        <v>0</v>
      </c>
      <c r="BB33" s="74">
        <v>0</v>
      </c>
      <c r="BC33" s="78">
        <v>0</v>
      </c>
      <c r="BD33" s="74">
        <v>0</v>
      </c>
      <c r="BE33" s="74">
        <v>0</v>
      </c>
      <c r="BF33" s="74">
        <v>0</v>
      </c>
      <c r="BG33" s="74">
        <v>0</v>
      </c>
      <c r="BH33" s="74">
        <v>0</v>
      </c>
      <c r="BI33" s="74">
        <v>0</v>
      </c>
      <c r="BJ33" s="74">
        <v>0</v>
      </c>
      <c r="BK33" s="74">
        <v>0</v>
      </c>
      <c r="BL33" s="74">
        <v>0</v>
      </c>
      <c r="BM33" s="74">
        <v>0</v>
      </c>
      <c r="BN33" s="74">
        <v>0</v>
      </c>
      <c r="BO33" s="74">
        <v>0</v>
      </c>
      <c r="BP33" s="74">
        <v>0</v>
      </c>
      <c r="BQ33" s="74">
        <v>0</v>
      </c>
      <c r="BR33" s="74">
        <v>0</v>
      </c>
      <c r="BS33" s="74">
        <v>0</v>
      </c>
      <c r="BT33" s="74">
        <v>0</v>
      </c>
      <c r="BU33" s="74">
        <v>0</v>
      </c>
      <c r="BV33" s="74">
        <v>0</v>
      </c>
      <c r="BW33" s="74">
        <v>0</v>
      </c>
      <c r="BX33" s="74">
        <v>0</v>
      </c>
      <c r="BY33" s="74">
        <v>0</v>
      </c>
      <c r="BZ33" s="74">
        <v>0</v>
      </c>
      <c r="CA33" s="78">
        <v>0</v>
      </c>
      <c r="CB33" s="74">
        <v>0</v>
      </c>
      <c r="CC33" s="74">
        <v>0</v>
      </c>
      <c r="CD33" s="74">
        <v>0</v>
      </c>
      <c r="CE33" s="74">
        <v>0</v>
      </c>
      <c r="CF33" s="74">
        <v>0</v>
      </c>
      <c r="CG33" s="74">
        <v>0</v>
      </c>
      <c r="CH33" s="74">
        <v>0</v>
      </c>
      <c r="CI33" s="74">
        <v>0</v>
      </c>
      <c r="CJ33" s="74">
        <v>0</v>
      </c>
      <c r="CK33" s="74">
        <v>0</v>
      </c>
      <c r="CL33" s="74">
        <v>0</v>
      </c>
      <c r="CM33" s="74">
        <v>0</v>
      </c>
      <c r="CN33" s="74">
        <v>0</v>
      </c>
      <c r="CO33" s="74">
        <v>0</v>
      </c>
      <c r="CP33" s="74">
        <v>0</v>
      </c>
      <c r="CQ33" s="74">
        <v>0</v>
      </c>
      <c r="CR33" s="74">
        <v>0</v>
      </c>
      <c r="CS33" s="74">
        <v>0</v>
      </c>
      <c r="CT33" s="74">
        <v>0</v>
      </c>
      <c r="CU33" s="74">
        <v>0</v>
      </c>
      <c r="CV33" s="74">
        <v>0</v>
      </c>
      <c r="CW33" s="74">
        <v>0</v>
      </c>
      <c r="CX33" s="74">
        <v>0</v>
      </c>
      <c r="CY33" s="78">
        <v>0</v>
      </c>
      <c r="CZ33" s="74">
        <v>0</v>
      </c>
      <c r="DA33" s="74">
        <v>0</v>
      </c>
      <c r="DB33" s="74">
        <v>0</v>
      </c>
      <c r="DC33" s="74">
        <v>0</v>
      </c>
      <c r="DD33" s="74">
        <v>0</v>
      </c>
      <c r="DE33" s="74">
        <v>0</v>
      </c>
      <c r="DF33" s="74">
        <v>0</v>
      </c>
      <c r="DG33" s="74">
        <v>0</v>
      </c>
      <c r="DH33" s="74">
        <v>0</v>
      </c>
      <c r="DI33" s="74">
        <v>0</v>
      </c>
      <c r="DJ33" s="74">
        <v>0</v>
      </c>
      <c r="DK33" s="74">
        <v>0</v>
      </c>
      <c r="DL33" s="74">
        <v>0</v>
      </c>
      <c r="DM33" s="74">
        <v>0</v>
      </c>
      <c r="DN33" s="74">
        <v>0</v>
      </c>
      <c r="DO33" s="74">
        <v>0</v>
      </c>
      <c r="DP33" s="74">
        <v>0</v>
      </c>
      <c r="DQ33" s="74">
        <v>0</v>
      </c>
      <c r="DR33" s="74">
        <v>0</v>
      </c>
      <c r="DS33" s="74">
        <v>0</v>
      </c>
      <c r="DT33" s="74">
        <v>0</v>
      </c>
      <c r="DU33" s="74">
        <v>0</v>
      </c>
      <c r="DV33" s="74">
        <v>0</v>
      </c>
      <c r="DW33" s="78">
        <v>0</v>
      </c>
      <c r="DX33" s="74">
        <v>0</v>
      </c>
      <c r="DY33" s="74">
        <v>0</v>
      </c>
      <c r="DZ33" s="74">
        <v>0</v>
      </c>
      <c r="EA33" s="74">
        <v>0</v>
      </c>
      <c r="EB33" s="74">
        <v>0</v>
      </c>
      <c r="EC33" s="74">
        <v>0</v>
      </c>
      <c r="ED33" s="74">
        <v>0</v>
      </c>
      <c r="EE33" s="74">
        <v>0</v>
      </c>
      <c r="EF33" s="74">
        <v>0</v>
      </c>
      <c r="EG33" s="74">
        <v>0</v>
      </c>
      <c r="EH33" s="74">
        <v>0</v>
      </c>
      <c r="EI33" s="74">
        <v>0</v>
      </c>
      <c r="EJ33" s="74">
        <v>0</v>
      </c>
      <c r="EK33" s="74">
        <v>0</v>
      </c>
      <c r="EL33" s="74">
        <v>0</v>
      </c>
      <c r="EM33" s="74">
        <v>0</v>
      </c>
      <c r="EN33" s="74">
        <v>0</v>
      </c>
      <c r="EO33" s="74">
        <v>0</v>
      </c>
      <c r="EP33" s="74">
        <v>0</v>
      </c>
      <c r="EQ33" s="74">
        <v>0</v>
      </c>
      <c r="ER33" s="74">
        <v>0</v>
      </c>
      <c r="ES33" s="74">
        <v>0</v>
      </c>
      <c r="ET33" s="74">
        <v>0</v>
      </c>
      <c r="EU33" s="78">
        <v>0</v>
      </c>
      <c r="EV33" s="74">
        <v>0</v>
      </c>
      <c r="EW33" s="74">
        <v>0</v>
      </c>
      <c r="EX33" s="74">
        <v>0</v>
      </c>
      <c r="EY33" s="74">
        <v>0</v>
      </c>
      <c r="EZ33" s="74">
        <v>0</v>
      </c>
      <c r="FA33" s="74">
        <v>0</v>
      </c>
      <c r="FB33" s="74">
        <v>0</v>
      </c>
      <c r="FC33" s="74">
        <v>0</v>
      </c>
      <c r="FD33" s="74">
        <v>0</v>
      </c>
      <c r="FE33" s="74">
        <v>0</v>
      </c>
      <c r="FF33" s="74">
        <v>0</v>
      </c>
      <c r="FG33" s="74">
        <v>0</v>
      </c>
      <c r="FH33" s="74">
        <v>0</v>
      </c>
      <c r="FI33" s="74">
        <v>0</v>
      </c>
      <c r="FJ33" s="74">
        <v>0</v>
      </c>
      <c r="FK33" s="74">
        <v>0</v>
      </c>
      <c r="FL33" s="74">
        <v>0</v>
      </c>
      <c r="FM33" s="74">
        <v>0</v>
      </c>
      <c r="FN33" s="74">
        <v>0</v>
      </c>
      <c r="FO33" s="74">
        <v>0</v>
      </c>
      <c r="FP33" s="74">
        <v>0</v>
      </c>
      <c r="FQ33" s="74">
        <v>0</v>
      </c>
      <c r="FR33" s="74">
        <v>0</v>
      </c>
      <c r="FS33" s="78">
        <v>0</v>
      </c>
      <c r="FT33" s="74">
        <v>0</v>
      </c>
      <c r="FU33" s="74">
        <v>0</v>
      </c>
      <c r="FV33" s="74">
        <v>0</v>
      </c>
      <c r="FW33" s="74">
        <v>0</v>
      </c>
      <c r="FX33" s="74">
        <v>0</v>
      </c>
      <c r="FY33" s="74">
        <v>0</v>
      </c>
      <c r="FZ33" s="74">
        <v>0</v>
      </c>
      <c r="GA33" s="74">
        <v>0</v>
      </c>
      <c r="GB33" s="74">
        <v>0</v>
      </c>
      <c r="GC33" s="74">
        <v>0</v>
      </c>
      <c r="GD33" s="74">
        <v>0</v>
      </c>
      <c r="GE33" s="74">
        <v>0</v>
      </c>
      <c r="GF33" s="74">
        <v>0</v>
      </c>
      <c r="GG33" s="74">
        <v>0</v>
      </c>
      <c r="GH33" s="74">
        <v>0</v>
      </c>
      <c r="GI33" s="74">
        <v>0</v>
      </c>
      <c r="GJ33" s="74">
        <v>0</v>
      </c>
      <c r="GK33" s="74">
        <v>0</v>
      </c>
      <c r="GL33" s="74">
        <v>0</v>
      </c>
      <c r="GM33" s="74">
        <v>0</v>
      </c>
      <c r="GN33" s="74">
        <v>0</v>
      </c>
      <c r="GO33" s="74">
        <v>0</v>
      </c>
      <c r="GP33" s="74">
        <v>0</v>
      </c>
      <c r="GQ33" s="78">
        <v>0</v>
      </c>
      <c r="GR33" s="74">
        <v>0</v>
      </c>
      <c r="GS33" s="74">
        <v>0</v>
      </c>
      <c r="GT33" s="74">
        <v>0</v>
      </c>
      <c r="GU33" s="74">
        <v>0</v>
      </c>
      <c r="GV33" s="74">
        <v>0</v>
      </c>
      <c r="GW33" s="74">
        <v>0</v>
      </c>
      <c r="GX33" s="74">
        <v>0</v>
      </c>
      <c r="GY33" s="74">
        <v>0</v>
      </c>
      <c r="GZ33" s="74">
        <v>0</v>
      </c>
      <c r="HA33" s="74">
        <v>0</v>
      </c>
      <c r="HB33" s="74">
        <v>0</v>
      </c>
      <c r="HC33" s="74">
        <v>0</v>
      </c>
      <c r="HD33" s="74">
        <v>0</v>
      </c>
      <c r="HE33" s="74">
        <v>0</v>
      </c>
      <c r="HF33" s="74">
        <v>0</v>
      </c>
      <c r="HG33" s="74">
        <v>0</v>
      </c>
      <c r="HH33" s="74">
        <v>0</v>
      </c>
      <c r="HI33" s="74">
        <v>0</v>
      </c>
      <c r="HJ33" s="74">
        <v>0</v>
      </c>
      <c r="HK33" s="74">
        <v>0</v>
      </c>
      <c r="HL33" s="74">
        <v>0</v>
      </c>
      <c r="HM33" s="74">
        <v>0</v>
      </c>
      <c r="HN33" s="74">
        <v>0</v>
      </c>
      <c r="HO33" s="74">
        <v>0</v>
      </c>
      <c r="HP33" s="74">
        <v>0</v>
      </c>
      <c r="HQ33" s="74">
        <v>0</v>
      </c>
      <c r="HR33" s="74">
        <v>0</v>
      </c>
      <c r="HS33" s="74">
        <v>0</v>
      </c>
      <c r="HT33" s="74">
        <v>0</v>
      </c>
      <c r="HU33" s="74">
        <v>0</v>
      </c>
      <c r="HV33" s="74">
        <v>0</v>
      </c>
      <c r="HW33" s="74">
        <v>0</v>
      </c>
      <c r="HX33" s="75">
        <v>0</v>
      </c>
    </row>
    <row r="34" spans="1:232" x14ac:dyDescent="0.2">
      <c r="B34" s="80" t="s">
        <v>80</v>
      </c>
      <c r="C34" s="80" t="s">
        <v>131</v>
      </c>
      <c r="D34" s="81">
        <v>5.2</v>
      </c>
      <c r="E34" s="80" t="s">
        <v>127</v>
      </c>
      <c r="F34" s="80" t="s">
        <v>124</v>
      </c>
      <c r="G34" s="78">
        <v>1</v>
      </c>
      <c r="H34" s="74">
        <v>1</v>
      </c>
      <c r="I34" s="74">
        <v>1</v>
      </c>
      <c r="J34" s="74">
        <v>1</v>
      </c>
      <c r="K34" s="74">
        <v>1</v>
      </c>
      <c r="L34" s="74">
        <v>1</v>
      </c>
      <c r="M34" s="74">
        <v>1</v>
      </c>
      <c r="N34" s="74">
        <v>1</v>
      </c>
      <c r="O34" s="74">
        <v>1</v>
      </c>
      <c r="P34" s="74">
        <v>1</v>
      </c>
      <c r="Q34" s="74">
        <v>1</v>
      </c>
      <c r="R34" s="74">
        <v>1</v>
      </c>
      <c r="S34" s="74">
        <v>1</v>
      </c>
      <c r="T34" s="74">
        <v>1</v>
      </c>
      <c r="U34" s="74">
        <v>1</v>
      </c>
      <c r="V34" s="74">
        <v>1</v>
      </c>
      <c r="W34" s="74">
        <v>1</v>
      </c>
      <c r="X34" s="74">
        <v>1</v>
      </c>
      <c r="Y34" s="74">
        <v>1</v>
      </c>
      <c r="Z34" s="74">
        <v>1</v>
      </c>
      <c r="AA34" s="74">
        <v>1</v>
      </c>
      <c r="AB34" s="74">
        <v>1</v>
      </c>
      <c r="AC34" s="74">
        <v>1</v>
      </c>
      <c r="AD34" s="74">
        <v>1</v>
      </c>
      <c r="AE34" s="78">
        <v>1</v>
      </c>
      <c r="AF34" s="74">
        <v>1</v>
      </c>
      <c r="AG34" s="74">
        <v>1</v>
      </c>
      <c r="AH34" s="74">
        <v>1</v>
      </c>
      <c r="AI34" s="74">
        <v>1</v>
      </c>
      <c r="AJ34" s="74">
        <v>1</v>
      </c>
      <c r="AK34" s="74">
        <v>1</v>
      </c>
      <c r="AL34" s="74">
        <v>1</v>
      </c>
      <c r="AM34" s="74">
        <v>1</v>
      </c>
      <c r="AN34" s="74">
        <v>1</v>
      </c>
      <c r="AO34" s="74">
        <v>1</v>
      </c>
      <c r="AP34" s="74">
        <v>1</v>
      </c>
      <c r="AQ34" s="74">
        <v>1</v>
      </c>
      <c r="AR34" s="74">
        <v>1</v>
      </c>
      <c r="AS34" s="74">
        <v>1</v>
      </c>
      <c r="AT34" s="74">
        <v>1</v>
      </c>
      <c r="AU34" s="74">
        <v>1</v>
      </c>
      <c r="AV34" s="74">
        <v>1</v>
      </c>
      <c r="AW34" s="74">
        <v>1</v>
      </c>
      <c r="AX34" s="74">
        <v>1</v>
      </c>
      <c r="AY34" s="74">
        <v>1</v>
      </c>
      <c r="AZ34" s="74">
        <v>1</v>
      </c>
      <c r="BA34" s="74">
        <v>1</v>
      </c>
      <c r="BB34" s="74">
        <v>1</v>
      </c>
      <c r="BC34" s="78">
        <v>1</v>
      </c>
      <c r="BD34" s="74">
        <v>1</v>
      </c>
      <c r="BE34" s="74">
        <v>1</v>
      </c>
      <c r="BF34" s="74">
        <v>1</v>
      </c>
      <c r="BG34" s="74">
        <v>1</v>
      </c>
      <c r="BH34" s="74">
        <v>1</v>
      </c>
      <c r="BI34" s="74">
        <v>1</v>
      </c>
      <c r="BJ34" s="74">
        <v>1</v>
      </c>
      <c r="BK34" s="74">
        <v>1</v>
      </c>
      <c r="BL34" s="74">
        <v>1</v>
      </c>
      <c r="BM34" s="74">
        <v>1</v>
      </c>
      <c r="BN34" s="74">
        <v>1</v>
      </c>
      <c r="BO34" s="74">
        <v>1</v>
      </c>
      <c r="BP34" s="74">
        <v>1</v>
      </c>
      <c r="BQ34" s="74">
        <v>1</v>
      </c>
      <c r="BR34" s="74">
        <v>1</v>
      </c>
      <c r="BS34" s="74">
        <v>1</v>
      </c>
      <c r="BT34" s="74">
        <v>1</v>
      </c>
      <c r="BU34" s="74">
        <v>1</v>
      </c>
      <c r="BV34" s="74">
        <v>1</v>
      </c>
      <c r="BW34" s="74">
        <v>1</v>
      </c>
      <c r="BX34" s="74">
        <v>1</v>
      </c>
      <c r="BY34" s="74">
        <v>1</v>
      </c>
      <c r="BZ34" s="74">
        <v>1</v>
      </c>
      <c r="CA34" s="78">
        <v>1</v>
      </c>
      <c r="CB34" s="74">
        <v>1</v>
      </c>
      <c r="CC34" s="74">
        <v>1</v>
      </c>
      <c r="CD34" s="74">
        <v>1</v>
      </c>
      <c r="CE34" s="74">
        <v>1</v>
      </c>
      <c r="CF34" s="74">
        <v>1</v>
      </c>
      <c r="CG34" s="74">
        <v>1</v>
      </c>
      <c r="CH34" s="74">
        <v>1</v>
      </c>
      <c r="CI34" s="74">
        <v>1</v>
      </c>
      <c r="CJ34" s="74">
        <v>1</v>
      </c>
      <c r="CK34" s="74">
        <v>1</v>
      </c>
      <c r="CL34" s="74">
        <v>1</v>
      </c>
      <c r="CM34" s="74">
        <v>1</v>
      </c>
      <c r="CN34" s="74">
        <v>1</v>
      </c>
      <c r="CO34" s="74">
        <v>1</v>
      </c>
      <c r="CP34" s="74">
        <v>1</v>
      </c>
      <c r="CQ34" s="74">
        <v>1</v>
      </c>
      <c r="CR34" s="74">
        <v>1</v>
      </c>
      <c r="CS34" s="74">
        <v>1</v>
      </c>
      <c r="CT34" s="74">
        <v>1</v>
      </c>
      <c r="CU34" s="74">
        <v>1</v>
      </c>
      <c r="CV34" s="74">
        <v>1</v>
      </c>
      <c r="CW34" s="74">
        <v>1</v>
      </c>
      <c r="CX34" s="74">
        <v>1</v>
      </c>
      <c r="CY34" s="78">
        <v>1</v>
      </c>
      <c r="CZ34" s="74">
        <v>1</v>
      </c>
      <c r="DA34" s="74">
        <v>1</v>
      </c>
      <c r="DB34" s="74">
        <v>1</v>
      </c>
      <c r="DC34" s="74">
        <v>1</v>
      </c>
      <c r="DD34" s="74">
        <v>1</v>
      </c>
      <c r="DE34" s="74">
        <v>1</v>
      </c>
      <c r="DF34" s="74">
        <v>1</v>
      </c>
      <c r="DG34" s="74">
        <v>1</v>
      </c>
      <c r="DH34" s="74">
        <v>1</v>
      </c>
      <c r="DI34" s="74">
        <v>1</v>
      </c>
      <c r="DJ34" s="74">
        <v>1</v>
      </c>
      <c r="DK34" s="74">
        <v>1</v>
      </c>
      <c r="DL34" s="74">
        <v>1</v>
      </c>
      <c r="DM34" s="74">
        <v>1</v>
      </c>
      <c r="DN34" s="74">
        <v>1</v>
      </c>
      <c r="DO34" s="74">
        <v>1</v>
      </c>
      <c r="DP34" s="74">
        <v>1</v>
      </c>
      <c r="DQ34" s="74">
        <v>1</v>
      </c>
      <c r="DR34" s="74">
        <v>1</v>
      </c>
      <c r="DS34" s="74">
        <v>1</v>
      </c>
      <c r="DT34" s="74">
        <v>1</v>
      </c>
      <c r="DU34" s="74">
        <v>1</v>
      </c>
      <c r="DV34" s="74">
        <v>1</v>
      </c>
      <c r="DW34" s="78">
        <v>1</v>
      </c>
      <c r="DX34" s="74">
        <v>1</v>
      </c>
      <c r="DY34" s="74">
        <v>1</v>
      </c>
      <c r="DZ34" s="74">
        <v>1</v>
      </c>
      <c r="EA34" s="74">
        <v>1</v>
      </c>
      <c r="EB34" s="74">
        <v>1</v>
      </c>
      <c r="EC34" s="74">
        <v>1</v>
      </c>
      <c r="ED34" s="74">
        <v>1</v>
      </c>
      <c r="EE34" s="74">
        <v>1</v>
      </c>
      <c r="EF34" s="74">
        <v>1</v>
      </c>
      <c r="EG34" s="74">
        <v>1</v>
      </c>
      <c r="EH34" s="74">
        <v>1</v>
      </c>
      <c r="EI34" s="74">
        <v>1</v>
      </c>
      <c r="EJ34" s="74">
        <v>1</v>
      </c>
      <c r="EK34" s="74">
        <v>1</v>
      </c>
      <c r="EL34" s="74">
        <v>1</v>
      </c>
      <c r="EM34" s="74">
        <v>1</v>
      </c>
      <c r="EN34" s="74">
        <v>1</v>
      </c>
      <c r="EO34" s="74">
        <v>1</v>
      </c>
      <c r="EP34" s="74">
        <v>1</v>
      </c>
      <c r="EQ34" s="74">
        <v>1</v>
      </c>
      <c r="ER34" s="74">
        <v>1</v>
      </c>
      <c r="ES34" s="74">
        <v>1</v>
      </c>
      <c r="ET34" s="74">
        <v>1</v>
      </c>
      <c r="EU34" s="78">
        <v>1</v>
      </c>
      <c r="EV34" s="74">
        <v>1</v>
      </c>
      <c r="EW34" s="74">
        <v>1</v>
      </c>
      <c r="EX34" s="74">
        <v>1</v>
      </c>
      <c r="EY34" s="74">
        <v>1</v>
      </c>
      <c r="EZ34" s="74">
        <v>1</v>
      </c>
      <c r="FA34" s="74">
        <v>1</v>
      </c>
      <c r="FB34" s="74">
        <v>1</v>
      </c>
      <c r="FC34" s="74">
        <v>1</v>
      </c>
      <c r="FD34" s="74">
        <v>1</v>
      </c>
      <c r="FE34" s="74">
        <v>1</v>
      </c>
      <c r="FF34" s="74">
        <v>1</v>
      </c>
      <c r="FG34" s="74">
        <v>1</v>
      </c>
      <c r="FH34" s="74">
        <v>1</v>
      </c>
      <c r="FI34" s="74">
        <v>1</v>
      </c>
      <c r="FJ34" s="74">
        <v>1</v>
      </c>
      <c r="FK34" s="74">
        <v>1</v>
      </c>
      <c r="FL34" s="74">
        <v>1</v>
      </c>
      <c r="FM34" s="74">
        <v>1</v>
      </c>
      <c r="FN34" s="74">
        <v>1</v>
      </c>
      <c r="FO34" s="74">
        <v>1</v>
      </c>
      <c r="FP34" s="74">
        <v>1</v>
      </c>
      <c r="FQ34" s="74">
        <v>1</v>
      </c>
      <c r="FR34" s="74">
        <v>1</v>
      </c>
      <c r="FS34" s="78">
        <v>1</v>
      </c>
      <c r="FT34" s="74">
        <v>1</v>
      </c>
      <c r="FU34" s="74">
        <v>1</v>
      </c>
      <c r="FV34" s="74">
        <v>1</v>
      </c>
      <c r="FW34" s="74">
        <v>1</v>
      </c>
      <c r="FX34" s="74">
        <v>1</v>
      </c>
      <c r="FY34" s="74">
        <v>1</v>
      </c>
      <c r="FZ34" s="74">
        <v>1</v>
      </c>
      <c r="GA34" s="74">
        <v>1</v>
      </c>
      <c r="GB34" s="74">
        <v>1</v>
      </c>
      <c r="GC34" s="74">
        <v>1</v>
      </c>
      <c r="GD34" s="74">
        <v>1</v>
      </c>
      <c r="GE34" s="74">
        <v>1</v>
      </c>
      <c r="GF34" s="74">
        <v>1</v>
      </c>
      <c r="GG34" s="74">
        <v>1</v>
      </c>
      <c r="GH34" s="74">
        <v>1</v>
      </c>
      <c r="GI34" s="74">
        <v>1</v>
      </c>
      <c r="GJ34" s="74">
        <v>1</v>
      </c>
      <c r="GK34" s="74">
        <v>1</v>
      </c>
      <c r="GL34" s="74">
        <v>1</v>
      </c>
      <c r="GM34" s="74">
        <v>1</v>
      </c>
      <c r="GN34" s="74">
        <v>1</v>
      </c>
      <c r="GO34" s="74">
        <v>1</v>
      </c>
      <c r="GP34" s="74">
        <v>1</v>
      </c>
      <c r="GQ34" s="78">
        <v>1</v>
      </c>
      <c r="GR34" s="74">
        <v>1</v>
      </c>
      <c r="GS34" s="74">
        <v>1</v>
      </c>
      <c r="GT34" s="74">
        <v>1</v>
      </c>
      <c r="GU34" s="74">
        <v>1</v>
      </c>
      <c r="GV34" s="74">
        <v>1</v>
      </c>
      <c r="GW34" s="74">
        <v>1</v>
      </c>
      <c r="GX34" s="74">
        <v>1</v>
      </c>
      <c r="GY34" s="74">
        <v>1</v>
      </c>
      <c r="GZ34" s="74">
        <v>1</v>
      </c>
      <c r="HA34" s="74">
        <v>1</v>
      </c>
      <c r="HB34" s="74">
        <v>1</v>
      </c>
      <c r="HC34" s="74">
        <v>1</v>
      </c>
      <c r="HD34" s="74">
        <v>1</v>
      </c>
      <c r="HE34" s="74">
        <v>1</v>
      </c>
      <c r="HF34" s="74">
        <v>1</v>
      </c>
      <c r="HG34" s="74">
        <v>1</v>
      </c>
      <c r="HH34" s="74">
        <v>1</v>
      </c>
      <c r="HI34" s="74">
        <v>1</v>
      </c>
      <c r="HJ34" s="74">
        <v>1</v>
      </c>
      <c r="HK34" s="74">
        <v>1</v>
      </c>
      <c r="HL34" s="74">
        <v>1</v>
      </c>
      <c r="HM34" s="74">
        <v>1</v>
      </c>
      <c r="HN34" s="74">
        <v>1</v>
      </c>
      <c r="HO34" s="74">
        <v>1</v>
      </c>
      <c r="HP34" s="74">
        <v>1</v>
      </c>
      <c r="HQ34" s="74">
        <v>1</v>
      </c>
      <c r="HR34" s="74">
        <v>1</v>
      </c>
      <c r="HS34" s="74">
        <v>1</v>
      </c>
      <c r="HT34" s="74">
        <v>1</v>
      </c>
      <c r="HU34" s="74">
        <v>1</v>
      </c>
      <c r="HV34" s="74">
        <v>1</v>
      </c>
      <c r="HW34" s="74">
        <v>1</v>
      </c>
      <c r="HX34" s="75">
        <v>1</v>
      </c>
    </row>
    <row r="35" spans="1:232" x14ac:dyDescent="0.2">
      <c r="B35" s="80" t="s">
        <v>81</v>
      </c>
      <c r="C35" s="80" t="s">
        <v>131</v>
      </c>
      <c r="D35" s="81">
        <v>5.2</v>
      </c>
      <c r="E35" s="80" t="s">
        <v>127</v>
      </c>
      <c r="F35" s="80" t="s">
        <v>124</v>
      </c>
      <c r="G35" s="78">
        <v>1</v>
      </c>
      <c r="H35" s="74">
        <v>1</v>
      </c>
      <c r="I35" s="74">
        <v>1</v>
      </c>
      <c r="J35" s="74">
        <v>1</v>
      </c>
      <c r="K35" s="74">
        <v>1</v>
      </c>
      <c r="L35" s="74">
        <v>1</v>
      </c>
      <c r="M35" s="74">
        <v>1</v>
      </c>
      <c r="N35" s="74">
        <v>1</v>
      </c>
      <c r="O35" s="74">
        <v>1</v>
      </c>
      <c r="P35" s="74">
        <v>1</v>
      </c>
      <c r="Q35" s="74">
        <v>1</v>
      </c>
      <c r="R35" s="74">
        <v>1</v>
      </c>
      <c r="S35" s="74">
        <v>1</v>
      </c>
      <c r="T35" s="74">
        <v>1</v>
      </c>
      <c r="U35" s="74">
        <v>1</v>
      </c>
      <c r="V35" s="74">
        <v>1</v>
      </c>
      <c r="W35" s="74">
        <v>1</v>
      </c>
      <c r="X35" s="74">
        <v>1</v>
      </c>
      <c r="Y35" s="74">
        <v>1</v>
      </c>
      <c r="Z35" s="74">
        <v>1</v>
      </c>
      <c r="AA35" s="74">
        <v>1</v>
      </c>
      <c r="AB35" s="74">
        <v>1</v>
      </c>
      <c r="AC35" s="74">
        <v>1</v>
      </c>
      <c r="AD35" s="74">
        <v>1</v>
      </c>
      <c r="AE35" s="78">
        <v>1</v>
      </c>
      <c r="AF35" s="74">
        <v>1</v>
      </c>
      <c r="AG35" s="74">
        <v>1</v>
      </c>
      <c r="AH35" s="74">
        <v>1</v>
      </c>
      <c r="AI35" s="74">
        <v>1</v>
      </c>
      <c r="AJ35" s="74">
        <v>1</v>
      </c>
      <c r="AK35" s="74">
        <v>1</v>
      </c>
      <c r="AL35" s="74">
        <v>1</v>
      </c>
      <c r="AM35" s="74">
        <v>1</v>
      </c>
      <c r="AN35" s="74">
        <v>1</v>
      </c>
      <c r="AO35" s="74">
        <v>1</v>
      </c>
      <c r="AP35" s="74">
        <v>1</v>
      </c>
      <c r="AQ35" s="74">
        <v>1</v>
      </c>
      <c r="AR35" s="74">
        <v>1</v>
      </c>
      <c r="AS35" s="74">
        <v>1</v>
      </c>
      <c r="AT35" s="74">
        <v>1</v>
      </c>
      <c r="AU35" s="74">
        <v>1</v>
      </c>
      <c r="AV35" s="74">
        <v>1</v>
      </c>
      <c r="AW35" s="74">
        <v>1</v>
      </c>
      <c r="AX35" s="74">
        <v>1</v>
      </c>
      <c r="AY35" s="74">
        <v>1</v>
      </c>
      <c r="AZ35" s="74">
        <v>1</v>
      </c>
      <c r="BA35" s="74">
        <v>1</v>
      </c>
      <c r="BB35" s="74">
        <v>1</v>
      </c>
      <c r="BC35" s="78">
        <v>1</v>
      </c>
      <c r="BD35" s="74">
        <v>1</v>
      </c>
      <c r="BE35" s="74">
        <v>1</v>
      </c>
      <c r="BF35" s="74">
        <v>1</v>
      </c>
      <c r="BG35" s="74">
        <v>1</v>
      </c>
      <c r="BH35" s="74">
        <v>1</v>
      </c>
      <c r="BI35" s="74">
        <v>1</v>
      </c>
      <c r="BJ35" s="74">
        <v>1</v>
      </c>
      <c r="BK35" s="74">
        <v>1</v>
      </c>
      <c r="BL35" s="74">
        <v>1</v>
      </c>
      <c r="BM35" s="74">
        <v>1</v>
      </c>
      <c r="BN35" s="74">
        <v>1</v>
      </c>
      <c r="BO35" s="74">
        <v>1</v>
      </c>
      <c r="BP35" s="74">
        <v>1</v>
      </c>
      <c r="BQ35" s="74">
        <v>1</v>
      </c>
      <c r="BR35" s="74">
        <v>1</v>
      </c>
      <c r="BS35" s="74">
        <v>1</v>
      </c>
      <c r="BT35" s="74">
        <v>1</v>
      </c>
      <c r="BU35" s="74">
        <v>1</v>
      </c>
      <c r="BV35" s="74">
        <v>1</v>
      </c>
      <c r="BW35" s="74">
        <v>1</v>
      </c>
      <c r="BX35" s="74">
        <v>1</v>
      </c>
      <c r="BY35" s="74">
        <v>1</v>
      </c>
      <c r="BZ35" s="74">
        <v>1</v>
      </c>
      <c r="CA35" s="78">
        <v>1</v>
      </c>
      <c r="CB35" s="74">
        <v>1</v>
      </c>
      <c r="CC35" s="74">
        <v>1</v>
      </c>
      <c r="CD35" s="74">
        <v>1</v>
      </c>
      <c r="CE35" s="74">
        <v>1</v>
      </c>
      <c r="CF35" s="74">
        <v>1</v>
      </c>
      <c r="CG35" s="74">
        <v>1</v>
      </c>
      <c r="CH35" s="74">
        <v>1</v>
      </c>
      <c r="CI35" s="74">
        <v>1</v>
      </c>
      <c r="CJ35" s="74">
        <v>1</v>
      </c>
      <c r="CK35" s="74">
        <v>1</v>
      </c>
      <c r="CL35" s="74">
        <v>1</v>
      </c>
      <c r="CM35" s="74">
        <v>1</v>
      </c>
      <c r="CN35" s="74">
        <v>1</v>
      </c>
      <c r="CO35" s="74">
        <v>1</v>
      </c>
      <c r="CP35" s="74">
        <v>1</v>
      </c>
      <c r="CQ35" s="74">
        <v>1</v>
      </c>
      <c r="CR35" s="74">
        <v>1</v>
      </c>
      <c r="CS35" s="74">
        <v>1</v>
      </c>
      <c r="CT35" s="74">
        <v>1</v>
      </c>
      <c r="CU35" s="74">
        <v>1</v>
      </c>
      <c r="CV35" s="74">
        <v>1</v>
      </c>
      <c r="CW35" s="74">
        <v>1</v>
      </c>
      <c r="CX35" s="74">
        <v>1</v>
      </c>
      <c r="CY35" s="78">
        <v>1</v>
      </c>
      <c r="CZ35" s="74">
        <v>1</v>
      </c>
      <c r="DA35" s="74">
        <v>1</v>
      </c>
      <c r="DB35" s="74">
        <v>1</v>
      </c>
      <c r="DC35" s="74">
        <v>1</v>
      </c>
      <c r="DD35" s="74">
        <v>1</v>
      </c>
      <c r="DE35" s="74">
        <v>1</v>
      </c>
      <c r="DF35" s="74">
        <v>1</v>
      </c>
      <c r="DG35" s="74">
        <v>1</v>
      </c>
      <c r="DH35" s="74">
        <v>1</v>
      </c>
      <c r="DI35" s="74">
        <v>1</v>
      </c>
      <c r="DJ35" s="74">
        <v>1</v>
      </c>
      <c r="DK35" s="74">
        <v>1</v>
      </c>
      <c r="DL35" s="74">
        <v>1</v>
      </c>
      <c r="DM35" s="74">
        <v>1</v>
      </c>
      <c r="DN35" s="74">
        <v>1</v>
      </c>
      <c r="DO35" s="74">
        <v>1</v>
      </c>
      <c r="DP35" s="74">
        <v>1</v>
      </c>
      <c r="DQ35" s="74">
        <v>1</v>
      </c>
      <c r="DR35" s="74">
        <v>1</v>
      </c>
      <c r="DS35" s="74">
        <v>1</v>
      </c>
      <c r="DT35" s="74">
        <v>1</v>
      </c>
      <c r="DU35" s="74">
        <v>1</v>
      </c>
      <c r="DV35" s="74">
        <v>1</v>
      </c>
      <c r="DW35" s="78">
        <v>1</v>
      </c>
      <c r="DX35" s="74">
        <v>1</v>
      </c>
      <c r="DY35" s="74">
        <v>1</v>
      </c>
      <c r="DZ35" s="74">
        <v>1</v>
      </c>
      <c r="EA35" s="74">
        <v>1</v>
      </c>
      <c r="EB35" s="74">
        <v>1</v>
      </c>
      <c r="EC35" s="74">
        <v>1</v>
      </c>
      <c r="ED35" s="74">
        <v>1</v>
      </c>
      <c r="EE35" s="74">
        <v>1</v>
      </c>
      <c r="EF35" s="74">
        <v>1</v>
      </c>
      <c r="EG35" s="74">
        <v>1</v>
      </c>
      <c r="EH35" s="74">
        <v>1</v>
      </c>
      <c r="EI35" s="74">
        <v>1</v>
      </c>
      <c r="EJ35" s="74">
        <v>1</v>
      </c>
      <c r="EK35" s="74">
        <v>1</v>
      </c>
      <c r="EL35" s="74">
        <v>1</v>
      </c>
      <c r="EM35" s="74">
        <v>1</v>
      </c>
      <c r="EN35" s="74">
        <v>1</v>
      </c>
      <c r="EO35" s="74">
        <v>1</v>
      </c>
      <c r="EP35" s="74">
        <v>1</v>
      </c>
      <c r="EQ35" s="74">
        <v>1</v>
      </c>
      <c r="ER35" s="74">
        <v>1</v>
      </c>
      <c r="ES35" s="74">
        <v>1</v>
      </c>
      <c r="ET35" s="74">
        <v>1</v>
      </c>
      <c r="EU35" s="78">
        <v>1</v>
      </c>
      <c r="EV35" s="74">
        <v>1</v>
      </c>
      <c r="EW35" s="74">
        <v>1</v>
      </c>
      <c r="EX35" s="74">
        <v>1</v>
      </c>
      <c r="EY35" s="74">
        <v>1</v>
      </c>
      <c r="EZ35" s="74">
        <v>1</v>
      </c>
      <c r="FA35" s="74">
        <v>1</v>
      </c>
      <c r="FB35" s="74">
        <v>1</v>
      </c>
      <c r="FC35" s="74">
        <v>1</v>
      </c>
      <c r="FD35" s="74">
        <v>1</v>
      </c>
      <c r="FE35" s="74">
        <v>1</v>
      </c>
      <c r="FF35" s="74">
        <v>1</v>
      </c>
      <c r="FG35" s="74">
        <v>1</v>
      </c>
      <c r="FH35" s="74">
        <v>1</v>
      </c>
      <c r="FI35" s="74">
        <v>1</v>
      </c>
      <c r="FJ35" s="74">
        <v>1</v>
      </c>
      <c r="FK35" s="74">
        <v>1</v>
      </c>
      <c r="FL35" s="74">
        <v>1</v>
      </c>
      <c r="FM35" s="74">
        <v>1</v>
      </c>
      <c r="FN35" s="74">
        <v>1</v>
      </c>
      <c r="FO35" s="74">
        <v>1</v>
      </c>
      <c r="FP35" s="74">
        <v>1</v>
      </c>
      <c r="FQ35" s="74">
        <v>1</v>
      </c>
      <c r="FR35" s="74">
        <v>1</v>
      </c>
      <c r="FS35" s="78">
        <v>1</v>
      </c>
      <c r="FT35" s="74">
        <v>1</v>
      </c>
      <c r="FU35" s="74">
        <v>1</v>
      </c>
      <c r="FV35" s="74">
        <v>1</v>
      </c>
      <c r="FW35" s="74">
        <v>1</v>
      </c>
      <c r="FX35" s="74">
        <v>1</v>
      </c>
      <c r="FY35" s="74">
        <v>1</v>
      </c>
      <c r="FZ35" s="74">
        <v>1</v>
      </c>
      <c r="GA35" s="74">
        <v>1</v>
      </c>
      <c r="GB35" s="74">
        <v>1</v>
      </c>
      <c r="GC35" s="74">
        <v>1</v>
      </c>
      <c r="GD35" s="74">
        <v>1</v>
      </c>
      <c r="GE35" s="74">
        <v>1</v>
      </c>
      <c r="GF35" s="74">
        <v>1</v>
      </c>
      <c r="GG35" s="74">
        <v>1</v>
      </c>
      <c r="GH35" s="74">
        <v>1</v>
      </c>
      <c r="GI35" s="74">
        <v>1</v>
      </c>
      <c r="GJ35" s="74">
        <v>1</v>
      </c>
      <c r="GK35" s="74">
        <v>1</v>
      </c>
      <c r="GL35" s="74">
        <v>1</v>
      </c>
      <c r="GM35" s="74">
        <v>1</v>
      </c>
      <c r="GN35" s="74">
        <v>1</v>
      </c>
      <c r="GO35" s="74">
        <v>1</v>
      </c>
      <c r="GP35" s="74">
        <v>1</v>
      </c>
      <c r="GQ35" s="78">
        <v>1</v>
      </c>
      <c r="GR35" s="74">
        <v>1</v>
      </c>
      <c r="GS35" s="74">
        <v>1</v>
      </c>
      <c r="GT35" s="74">
        <v>1</v>
      </c>
      <c r="GU35" s="74">
        <v>1</v>
      </c>
      <c r="GV35" s="74">
        <v>1</v>
      </c>
      <c r="GW35" s="74">
        <v>1</v>
      </c>
      <c r="GX35" s="74">
        <v>1</v>
      </c>
      <c r="GY35" s="74">
        <v>1</v>
      </c>
      <c r="GZ35" s="74">
        <v>1</v>
      </c>
      <c r="HA35" s="74">
        <v>1</v>
      </c>
      <c r="HB35" s="74">
        <v>1</v>
      </c>
      <c r="HC35" s="74">
        <v>1</v>
      </c>
      <c r="HD35" s="74">
        <v>1</v>
      </c>
      <c r="HE35" s="74">
        <v>1</v>
      </c>
      <c r="HF35" s="74">
        <v>1</v>
      </c>
      <c r="HG35" s="74">
        <v>1</v>
      </c>
      <c r="HH35" s="74">
        <v>1</v>
      </c>
      <c r="HI35" s="74">
        <v>1</v>
      </c>
      <c r="HJ35" s="74">
        <v>1</v>
      </c>
      <c r="HK35" s="74">
        <v>1</v>
      </c>
      <c r="HL35" s="74">
        <v>1</v>
      </c>
      <c r="HM35" s="74">
        <v>1</v>
      </c>
      <c r="HN35" s="74">
        <v>1</v>
      </c>
      <c r="HO35" s="74">
        <v>1</v>
      </c>
      <c r="HP35" s="74">
        <v>1</v>
      </c>
      <c r="HQ35" s="74">
        <v>1</v>
      </c>
      <c r="HR35" s="74">
        <v>1</v>
      </c>
      <c r="HS35" s="74">
        <v>1</v>
      </c>
      <c r="HT35" s="74">
        <v>1</v>
      </c>
      <c r="HU35" s="74">
        <v>1</v>
      </c>
      <c r="HV35" s="74">
        <v>1</v>
      </c>
      <c r="HW35" s="74">
        <v>1</v>
      </c>
      <c r="HX35" s="75">
        <v>1</v>
      </c>
    </row>
    <row r="36" spans="1:232" x14ac:dyDescent="0.2">
      <c r="B36" s="80" t="s">
        <v>82</v>
      </c>
      <c r="C36" s="80" t="s">
        <v>131</v>
      </c>
      <c r="D36" s="81">
        <v>5.2</v>
      </c>
      <c r="E36" s="80" t="s">
        <v>127</v>
      </c>
      <c r="F36" s="80" t="s">
        <v>124</v>
      </c>
      <c r="G36" s="78">
        <v>1</v>
      </c>
      <c r="H36" s="74">
        <v>1</v>
      </c>
      <c r="I36" s="74">
        <v>1</v>
      </c>
      <c r="J36" s="74">
        <v>1</v>
      </c>
      <c r="K36" s="74">
        <v>1</v>
      </c>
      <c r="L36" s="74">
        <v>1</v>
      </c>
      <c r="M36" s="74">
        <v>1</v>
      </c>
      <c r="N36" s="74">
        <v>1</v>
      </c>
      <c r="O36" s="74">
        <v>1</v>
      </c>
      <c r="P36" s="74">
        <v>1</v>
      </c>
      <c r="Q36" s="74">
        <v>1</v>
      </c>
      <c r="R36" s="74">
        <v>1</v>
      </c>
      <c r="S36" s="74">
        <v>1</v>
      </c>
      <c r="T36" s="74">
        <v>1</v>
      </c>
      <c r="U36" s="74">
        <v>1</v>
      </c>
      <c r="V36" s="74">
        <v>1</v>
      </c>
      <c r="W36" s="74">
        <v>1</v>
      </c>
      <c r="X36" s="74">
        <v>1</v>
      </c>
      <c r="Y36" s="74">
        <v>1</v>
      </c>
      <c r="Z36" s="74">
        <v>1</v>
      </c>
      <c r="AA36" s="74">
        <v>1</v>
      </c>
      <c r="AB36" s="74">
        <v>1</v>
      </c>
      <c r="AC36" s="74">
        <v>1</v>
      </c>
      <c r="AD36" s="74">
        <v>1</v>
      </c>
      <c r="AE36" s="78">
        <v>1</v>
      </c>
      <c r="AF36" s="74">
        <v>1</v>
      </c>
      <c r="AG36" s="74">
        <v>1</v>
      </c>
      <c r="AH36" s="74">
        <v>1</v>
      </c>
      <c r="AI36" s="74">
        <v>1</v>
      </c>
      <c r="AJ36" s="74">
        <v>1</v>
      </c>
      <c r="AK36" s="74">
        <v>1</v>
      </c>
      <c r="AL36" s="74">
        <v>1</v>
      </c>
      <c r="AM36" s="74">
        <v>1</v>
      </c>
      <c r="AN36" s="74">
        <v>1</v>
      </c>
      <c r="AO36" s="74">
        <v>1</v>
      </c>
      <c r="AP36" s="74">
        <v>1</v>
      </c>
      <c r="AQ36" s="74">
        <v>1</v>
      </c>
      <c r="AR36" s="74">
        <v>1</v>
      </c>
      <c r="AS36" s="74">
        <v>1</v>
      </c>
      <c r="AT36" s="74">
        <v>1</v>
      </c>
      <c r="AU36" s="74">
        <v>1</v>
      </c>
      <c r="AV36" s="74">
        <v>1</v>
      </c>
      <c r="AW36" s="74">
        <v>1</v>
      </c>
      <c r="AX36" s="74">
        <v>1</v>
      </c>
      <c r="AY36" s="74">
        <v>1</v>
      </c>
      <c r="AZ36" s="74">
        <v>1</v>
      </c>
      <c r="BA36" s="74">
        <v>1</v>
      </c>
      <c r="BB36" s="74">
        <v>1</v>
      </c>
      <c r="BC36" s="78">
        <v>1</v>
      </c>
      <c r="BD36" s="74">
        <v>1</v>
      </c>
      <c r="BE36" s="74">
        <v>1</v>
      </c>
      <c r="BF36" s="74">
        <v>1</v>
      </c>
      <c r="BG36" s="74">
        <v>1</v>
      </c>
      <c r="BH36" s="74">
        <v>1</v>
      </c>
      <c r="BI36" s="74">
        <v>1</v>
      </c>
      <c r="BJ36" s="74">
        <v>1</v>
      </c>
      <c r="BK36" s="74">
        <v>1</v>
      </c>
      <c r="BL36" s="74">
        <v>1</v>
      </c>
      <c r="BM36" s="74">
        <v>1</v>
      </c>
      <c r="BN36" s="74">
        <v>1</v>
      </c>
      <c r="BO36" s="74">
        <v>1</v>
      </c>
      <c r="BP36" s="74">
        <v>1</v>
      </c>
      <c r="BQ36" s="74">
        <v>1</v>
      </c>
      <c r="BR36" s="74">
        <v>1</v>
      </c>
      <c r="BS36" s="74">
        <v>1</v>
      </c>
      <c r="BT36" s="74">
        <v>1</v>
      </c>
      <c r="BU36" s="74">
        <v>1</v>
      </c>
      <c r="BV36" s="74">
        <v>1</v>
      </c>
      <c r="BW36" s="74">
        <v>1</v>
      </c>
      <c r="BX36" s="74">
        <v>1</v>
      </c>
      <c r="BY36" s="74">
        <v>1</v>
      </c>
      <c r="BZ36" s="74">
        <v>1</v>
      </c>
      <c r="CA36" s="78">
        <v>1</v>
      </c>
      <c r="CB36" s="74">
        <v>1</v>
      </c>
      <c r="CC36" s="74">
        <v>1</v>
      </c>
      <c r="CD36" s="74">
        <v>1</v>
      </c>
      <c r="CE36" s="74">
        <v>1</v>
      </c>
      <c r="CF36" s="74">
        <v>1</v>
      </c>
      <c r="CG36" s="74">
        <v>1</v>
      </c>
      <c r="CH36" s="74">
        <v>1</v>
      </c>
      <c r="CI36" s="74">
        <v>1</v>
      </c>
      <c r="CJ36" s="74">
        <v>1</v>
      </c>
      <c r="CK36" s="74">
        <v>1</v>
      </c>
      <c r="CL36" s="74">
        <v>1</v>
      </c>
      <c r="CM36" s="74">
        <v>1</v>
      </c>
      <c r="CN36" s="74">
        <v>1</v>
      </c>
      <c r="CO36" s="74">
        <v>1</v>
      </c>
      <c r="CP36" s="74">
        <v>1</v>
      </c>
      <c r="CQ36" s="74">
        <v>1</v>
      </c>
      <c r="CR36" s="74">
        <v>1</v>
      </c>
      <c r="CS36" s="74">
        <v>1</v>
      </c>
      <c r="CT36" s="74">
        <v>1</v>
      </c>
      <c r="CU36" s="74">
        <v>1</v>
      </c>
      <c r="CV36" s="74">
        <v>1</v>
      </c>
      <c r="CW36" s="74">
        <v>1</v>
      </c>
      <c r="CX36" s="74">
        <v>1</v>
      </c>
      <c r="CY36" s="78">
        <v>1</v>
      </c>
      <c r="CZ36" s="74">
        <v>1</v>
      </c>
      <c r="DA36" s="74">
        <v>1</v>
      </c>
      <c r="DB36" s="74">
        <v>1</v>
      </c>
      <c r="DC36" s="74">
        <v>1</v>
      </c>
      <c r="DD36" s="74">
        <v>1</v>
      </c>
      <c r="DE36" s="74">
        <v>1</v>
      </c>
      <c r="DF36" s="74">
        <v>1</v>
      </c>
      <c r="DG36" s="74">
        <v>1</v>
      </c>
      <c r="DH36" s="74">
        <v>1</v>
      </c>
      <c r="DI36" s="74">
        <v>1</v>
      </c>
      <c r="DJ36" s="74">
        <v>1</v>
      </c>
      <c r="DK36" s="74">
        <v>1</v>
      </c>
      <c r="DL36" s="74">
        <v>1</v>
      </c>
      <c r="DM36" s="74">
        <v>1</v>
      </c>
      <c r="DN36" s="74">
        <v>1</v>
      </c>
      <c r="DO36" s="74">
        <v>1</v>
      </c>
      <c r="DP36" s="74">
        <v>1</v>
      </c>
      <c r="DQ36" s="74">
        <v>1</v>
      </c>
      <c r="DR36" s="74">
        <v>1</v>
      </c>
      <c r="DS36" s="74">
        <v>1</v>
      </c>
      <c r="DT36" s="74">
        <v>1</v>
      </c>
      <c r="DU36" s="74">
        <v>1</v>
      </c>
      <c r="DV36" s="74">
        <v>1</v>
      </c>
      <c r="DW36" s="78">
        <v>1</v>
      </c>
      <c r="DX36" s="74">
        <v>1</v>
      </c>
      <c r="DY36" s="74">
        <v>1</v>
      </c>
      <c r="DZ36" s="74">
        <v>1</v>
      </c>
      <c r="EA36" s="74">
        <v>1</v>
      </c>
      <c r="EB36" s="74">
        <v>1</v>
      </c>
      <c r="EC36" s="74">
        <v>1</v>
      </c>
      <c r="ED36" s="74">
        <v>1</v>
      </c>
      <c r="EE36" s="74">
        <v>1</v>
      </c>
      <c r="EF36" s="74">
        <v>1</v>
      </c>
      <c r="EG36" s="74">
        <v>1</v>
      </c>
      <c r="EH36" s="74">
        <v>1</v>
      </c>
      <c r="EI36" s="74">
        <v>1</v>
      </c>
      <c r="EJ36" s="74">
        <v>1</v>
      </c>
      <c r="EK36" s="74">
        <v>1</v>
      </c>
      <c r="EL36" s="74">
        <v>1</v>
      </c>
      <c r="EM36" s="74">
        <v>1</v>
      </c>
      <c r="EN36" s="74">
        <v>1</v>
      </c>
      <c r="EO36" s="74">
        <v>1</v>
      </c>
      <c r="EP36" s="74">
        <v>1</v>
      </c>
      <c r="EQ36" s="74">
        <v>1</v>
      </c>
      <c r="ER36" s="74">
        <v>1</v>
      </c>
      <c r="ES36" s="74">
        <v>1</v>
      </c>
      <c r="ET36" s="74">
        <v>1</v>
      </c>
      <c r="EU36" s="78">
        <v>1</v>
      </c>
      <c r="EV36" s="74">
        <v>1</v>
      </c>
      <c r="EW36" s="74">
        <v>1</v>
      </c>
      <c r="EX36" s="74">
        <v>1</v>
      </c>
      <c r="EY36" s="74">
        <v>1</v>
      </c>
      <c r="EZ36" s="74">
        <v>1</v>
      </c>
      <c r="FA36" s="74">
        <v>1</v>
      </c>
      <c r="FB36" s="74">
        <v>1</v>
      </c>
      <c r="FC36" s="74">
        <v>1</v>
      </c>
      <c r="FD36" s="74">
        <v>1</v>
      </c>
      <c r="FE36" s="74">
        <v>1</v>
      </c>
      <c r="FF36" s="74">
        <v>1</v>
      </c>
      <c r="FG36" s="74">
        <v>1</v>
      </c>
      <c r="FH36" s="74">
        <v>1</v>
      </c>
      <c r="FI36" s="74">
        <v>1</v>
      </c>
      <c r="FJ36" s="74">
        <v>1</v>
      </c>
      <c r="FK36" s="74">
        <v>1</v>
      </c>
      <c r="FL36" s="74">
        <v>1</v>
      </c>
      <c r="FM36" s="74">
        <v>1</v>
      </c>
      <c r="FN36" s="74">
        <v>1</v>
      </c>
      <c r="FO36" s="74">
        <v>1</v>
      </c>
      <c r="FP36" s="74">
        <v>1</v>
      </c>
      <c r="FQ36" s="74">
        <v>1</v>
      </c>
      <c r="FR36" s="74">
        <v>1</v>
      </c>
      <c r="FS36" s="78">
        <v>1</v>
      </c>
      <c r="FT36" s="74">
        <v>1</v>
      </c>
      <c r="FU36" s="74">
        <v>1</v>
      </c>
      <c r="FV36" s="74">
        <v>1</v>
      </c>
      <c r="FW36" s="74">
        <v>1</v>
      </c>
      <c r="FX36" s="74">
        <v>1</v>
      </c>
      <c r="FY36" s="74">
        <v>1</v>
      </c>
      <c r="FZ36" s="74">
        <v>1</v>
      </c>
      <c r="GA36" s="74">
        <v>1</v>
      </c>
      <c r="GB36" s="74">
        <v>1</v>
      </c>
      <c r="GC36" s="74">
        <v>1</v>
      </c>
      <c r="GD36" s="74">
        <v>1</v>
      </c>
      <c r="GE36" s="74">
        <v>1</v>
      </c>
      <c r="GF36" s="74">
        <v>1</v>
      </c>
      <c r="GG36" s="74">
        <v>1</v>
      </c>
      <c r="GH36" s="74">
        <v>1</v>
      </c>
      <c r="GI36" s="74">
        <v>1</v>
      </c>
      <c r="GJ36" s="74">
        <v>1</v>
      </c>
      <c r="GK36" s="74">
        <v>1</v>
      </c>
      <c r="GL36" s="74">
        <v>1</v>
      </c>
      <c r="GM36" s="74">
        <v>1</v>
      </c>
      <c r="GN36" s="74">
        <v>1</v>
      </c>
      <c r="GO36" s="74">
        <v>1</v>
      </c>
      <c r="GP36" s="74">
        <v>1</v>
      </c>
      <c r="GQ36" s="78">
        <v>1</v>
      </c>
      <c r="GR36" s="74">
        <v>1</v>
      </c>
      <c r="GS36" s="74">
        <v>1</v>
      </c>
      <c r="GT36" s="74">
        <v>1</v>
      </c>
      <c r="GU36" s="74">
        <v>1</v>
      </c>
      <c r="GV36" s="74">
        <v>1</v>
      </c>
      <c r="GW36" s="74">
        <v>1</v>
      </c>
      <c r="GX36" s="74">
        <v>1</v>
      </c>
      <c r="GY36" s="74">
        <v>1</v>
      </c>
      <c r="GZ36" s="74">
        <v>1</v>
      </c>
      <c r="HA36" s="74">
        <v>1</v>
      </c>
      <c r="HB36" s="74">
        <v>1</v>
      </c>
      <c r="HC36" s="74">
        <v>1</v>
      </c>
      <c r="HD36" s="74">
        <v>1</v>
      </c>
      <c r="HE36" s="74">
        <v>1</v>
      </c>
      <c r="HF36" s="74">
        <v>1</v>
      </c>
      <c r="HG36" s="74">
        <v>1</v>
      </c>
      <c r="HH36" s="74">
        <v>1</v>
      </c>
      <c r="HI36" s="74">
        <v>1</v>
      </c>
      <c r="HJ36" s="74">
        <v>1</v>
      </c>
      <c r="HK36" s="74">
        <v>1</v>
      </c>
      <c r="HL36" s="74">
        <v>1</v>
      </c>
      <c r="HM36" s="74">
        <v>1</v>
      </c>
      <c r="HN36" s="74">
        <v>1</v>
      </c>
      <c r="HO36" s="74">
        <v>1</v>
      </c>
      <c r="HP36" s="74">
        <v>1</v>
      </c>
      <c r="HQ36" s="74">
        <v>1</v>
      </c>
      <c r="HR36" s="74">
        <v>1</v>
      </c>
      <c r="HS36" s="74">
        <v>1</v>
      </c>
      <c r="HT36" s="74">
        <v>1</v>
      </c>
      <c r="HU36" s="74">
        <v>1</v>
      </c>
      <c r="HV36" s="74">
        <v>1</v>
      </c>
      <c r="HW36" s="74">
        <v>1</v>
      </c>
      <c r="HX36" s="75">
        <v>1</v>
      </c>
    </row>
    <row r="37" spans="1:232" x14ac:dyDescent="0.2">
      <c r="B37" s="80" t="s">
        <v>83</v>
      </c>
      <c r="C37" s="80" t="s">
        <v>132</v>
      </c>
      <c r="D37" s="81">
        <v>5</v>
      </c>
      <c r="E37" s="80" t="s">
        <v>127</v>
      </c>
      <c r="F37" s="80" t="s">
        <v>124</v>
      </c>
      <c r="G37" s="78">
        <v>1</v>
      </c>
      <c r="H37" s="74">
        <v>1</v>
      </c>
      <c r="I37" s="74">
        <v>1</v>
      </c>
      <c r="J37" s="74">
        <v>1</v>
      </c>
      <c r="K37" s="74">
        <v>1</v>
      </c>
      <c r="L37" s="74">
        <v>1</v>
      </c>
      <c r="M37" s="74">
        <v>1</v>
      </c>
      <c r="N37" s="74">
        <v>1</v>
      </c>
      <c r="O37" s="74">
        <v>1</v>
      </c>
      <c r="P37" s="74">
        <v>1</v>
      </c>
      <c r="Q37" s="74">
        <v>1</v>
      </c>
      <c r="R37" s="74">
        <v>1</v>
      </c>
      <c r="S37" s="74">
        <v>1</v>
      </c>
      <c r="T37" s="74">
        <v>1</v>
      </c>
      <c r="U37" s="74">
        <v>1</v>
      </c>
      <c r="V37" s="74">
        <v>1</v>
      </c>
      <c r="W37" s="74">
        <v>1</v>
      </c>
      <c r="X37" s="74">
        <v>1</v>
      </c>
      <c r="Y37" s="74">
        <v>1</v>
      </c>
      <c r="Z37" s="74">
        <v>1</v>
      </c>
      <c r="AA37" s="74">
        <v>1</v>
      </c>
      <c r="AB37" s="74">
        <v>1</v>
      </c>
      <c r="AC37" s="74">
        <v>1</v>
      </c>
      <c r="AD37" s="74">
        <v>1</v>
      </c>
      <c r="AE37" s="78">
        <v>1</v>
      </c>
      <c r="AF37" s="74">
        <v>1</v>
      </c>
      <c r="AG37" s="74">
        <v>1</v>
      </c>
      <c r="AH37" s="74">
        <v>1</v>
      </c>
      <c r="AI37" s="74">
        <v>1</v>
      </c>
      <c r="AJ37" s="74">
        <v>1</v>
      </c>
      <c r="AK37" s="74">
        <v>1</v>
      </c>
      <c r="AL37" s="74">
        <v>1</v>
      </c>
      <c r="AM37" s="74">
        <v>1</v>
      </c>
      <c r="AN37" s="74">
        <v>1</v>
      </c>
      <c r="AO37" s="74">
        <v>1</v>
      </c>
      <c r="AP37" s="74">
        <v>1</v>
      </c>
      <c r="AQ37" s="74">
        <v>1</v>
      </c>
      <c r="AR37" s="74">
        <v>1</v>
      </c>
      <c r="AS37" s="74">
        <v>1</v>
      </c>
      <c r="AT37" s="74">
        <v>1</v>
      </c>
      <c r="AU37" s="74">
        <v>1</v>
      </c>
      <c r="AV37" s="74">
        <v>1</v>
      </c>
      <c r="AW37" s="74">
        <v>1</v>
      </c>
      <c r="AX37" s="74">
        <v>1</v>
      </c>
      <c r="AY37" s="74">
        <v>1</v>
      </c>
      <c r="AZ37" s="74">
        <v>1</v>
      </c>
      <c r="BA37" s="74">
        <v>1</v>
      </c>
      <c r="BB37" s="74">
        <v>1</v>
      </c>
      <c r="BC37" s="78">
        <v>1</v>
      </c>
      <c r="BD37" s="74">
        <v>1</v>
      </c>
      <c r="BE37" s="74">
        <v>1</v>
      </c>
      <c r="BF37" s="74">
        <v>1</v>
      </c>
      <c r="BG37" s="74">
        <v>1</v>
      </c>
      <c r="BH37" s="74">
        <v>1</v>
      </c>
      <c r="BI37" s="74">
        <v>1</v>
      </c>
      <c r="BJ37" s="74">
        <v>1</v>
      </c>
      <c r="BK37" s="74">
        <v>1</v>
      </c>
      <c r="BL37" s="74">
        <v>1</v>
      </c>
      <c r="BM37" s="74">
        <v>1</v>
      </c>
      <c r="BN37" s="74">
        <v>1</v>
      </c>
      <c r="BO37" s="74">
        <v>1</v>
      </c>
      <c r="BP37" s="74">
        <v>1</v>
      </c>
      <c r="BQ37" s="74">
        <v>1</v>
      </c>
      <c r="BR37" s="74">
        <v>1</v>
      </c>
      <c r="BS37" s="74">
        <v>1</v>
      </c>
      <c r="BT37" s="74">
        <v>1</v>
      </c>
      <c r="BU37" s="74">
        <v>1</v>
      </c>
      <c r="BV37" s="74">
        <v>1</v>
      </c>
      <c r="BW37" s="74">
        <v>1</v>
      </c>
      <c r="BX37" s="74">
        <v>1</v>
      </c>
      <c r="BY37" s="74">
        <v>1</v>
      </c>
      <c r="BZ37" s="74">
        <v>1</v>
      </c>
      <c r="CA37" s="78">
        <v>1</v>
      </c>
      <c r="CB37" s="74">
        <v>1</v>
      </c>
      <c r="CC37" s="74">
        <v>1</v>
      </c>
      <c r="CD37" s="74">
        <v>1</v>
      </c>
      <c r="CE37" s="74">
        <v>1</v>
      </c>
      <c r="CF37" s="74">
        <v>1</v>
      </c>
      <c r="CG37" s="74">
        <v>1</v>
      </c>
      <c r="CH37" s="74">
        <v>1</v>
      </c>
      <c r="CI37" s="74">
        <v>1</v>
      </c>
      <c r="CJ37" s="74">
        <v>1</v>
      </c>
      <c r="CK37" s="74">
        <v>1</v>
      </c>
      <c r="CL37" s="74">
        <v>1</v>
      </c>
      <c r="CM37" s="74">
        <v>1</v>
      </c>
      <c r="CN37" s="74">
        <v>1</v>
      </c>
      <c r="CO37" s="74">
        <v>1</v>
      </c>
      <c r="CP37" s="74">
        <v>1</v>
      </c>
      <c r="CQ37" s="74">
        <v>1</v>
      </c>
      <c r="CR37" s="74">
        <v>1</v>
      </c>
      <c r="CS37" s="74">
        <v>1</v>
      </c>
      <c r="CT37" s="74">
        <v>1</v>
      </c>
      <c r="CU37" s="74">
        <v>1</v>
      </c>
      <c r="CV37" s="74">
        <v>1</v>
      </c>
      <c r="CW37" s="74">
        <v>1</v>
      </c>
      <c r="CX37" s="74">
        <v>1</v>
      </c>
      <c r="CY37" s="78">
        <v>1</v>
      </c>
      <c r="CZ37" s="74">
        <v>1</v>
      </c>
      <c r="DA37" s="74">
        <v>1</v>
      </c>
      <c r="DB37" s="74">
        <v>1</v>
      </c>
      <c r="DC37" s="74">
        <v>1</v>
      </c>
      <c r="DD37" s="74">
        <v>1</v>
      </c>
      <c r="DE37" s="74">
        <v>1</v>
      </c>
      <c r="DF37" s="74">
        <v>1</v>
      </c>
      <c r="DG37" s="74">
        <v>1</v>
      </c>
      <c r="DH37" s="74">
        <v>1</v>
      </c>
      <c r="DI37" s="74">
        <v>1</v>
      </c>
      <c r="DJ37" s="74">
        <v>1</v>
      </c>
      <c r="DK37" s="74">
        <v>1</v>
      </c>
      <c r="DL37" s="74">
        <v>1</v>
      </c>
      <c r="DM37" s="74">
        <v>1</v>
      </c>
      <c r="DN37" s="74">
        <v>1</v>
      </c>
      <c r="DO37" s="74">
        <v>1</v>
      </c>
      <c r="DP37" s="74">
        <v>1</v>
      </c>
      <c r="DQ37" s="74">
        <v>1</v>
      </c>
      <c r="DR37" s="74">
        <v>1</v>
      </c>
      <c r="DS37" s="74">
        <v>1</v>
      </c>
      <c r="DT37" s="74">
        <v>1</v>
      </c>
      <c r="DU37" s="74">
        <v>1</v>
      </c>
      <c r="DV37" s="74">
        <v>1</v>
      </c>
      <c r="DW37" s="78">
        <v>1</v>
      </c>
      <c r="DX37" s="74">
        <v>1</v>
      </c>
      <c r="DY37" s="74">
        <v>1</v>
      </c>
      <c r="DZ37" s="74">
        <v>1</v>
      </c>
      <c r="EA37" s="74">
        <v>1</v>
      </c>
      <c r="EB37" s="74">
        <v>1</v>
      </c>
      <c r="EC37" s="74">
        <v>1</v>
      </c>
      <c r="ED37" s="74">
        <v>1</v>
      </c>
      <c r="EE37" s="74">
        <v>1</v>
      </c>
      <c r="EF37" s="74">
        <v>1</v>
      </c>
      <c r="EG37" s="74">
        <v>1</v>
      </c>
      <c r="EH37" s="74">
        <v>1</v>
      </c>
      <c r="EI37" s="74">
        <v>1</v>
      </c>
      <c r="EJ37" s="74">
        <v>1</v>
      </c>
      <c r="EK37" s="74">
        <v>1</v>
      </c>
      <c r="EL37" s="74">
        <v>1</v>
      </c>
      <c r="EM37" s="74">
        <v>1</v>
      </c>
      <c r="EN37" s="74">
        <v>1</v>
      </c>
      <c r="EO37" s="74">
        <v>1</v>
      </c>
      <c r="EP37" s="74">
        <v>1</v>
      </c>
      <c r="EQ37" s="74">
        <v>1</v>
      </c>
      <c r="ER37" s="74">
        <v>1</v>
      </c>
      <c r="ES37" s="74">
        <v>1</v>
      </c>
      <c r="ET37" s="74">
        <v>1</v>
      </c>
      <c r="EU37" s="78">
        <v>1</v>
      </c>
      <c r="EV37" s="74">
        <v>1</v>
      </c>
      <c r="EW37" s="74">
        <v>1</v>
      </c>
      <c r="EX37" s="74">
        <v>1</v>
      </c>
      <c r="EY37" s="74">
        <v>1</v>
      </c>
      <c r="EZ37" s="74">
        <v>1</v>
      </c>
      <c r="FA37" s="74">
        <v>1</v>
      </c>
      <c r="FB37" s="74">
        <v>1</v>
      </c>
      <c r="FC37" s="74">
        <v>1</v>
      </c>
      <c r="FD37" s="74">
        <v>1</v>
      </c>
      <c r="FE37" s="74">
        <v>1</v>
      </c>
      <c r="FF37" s="74">
        <v>1</v>
      </c>
      <c r="FG37" s="74">
        <v>1</v>
      </c>
      <c r="FH37" s="74">
        <v>1</v>
      </c>
      <c r="FI37" s="74">
        <v>1</v>
      </c>
      <c r="FJ37" s="74">
        <v>1</v>
      </c>
      <c r="FK37" s="74">
        <v>1</v>
      </c>
      <c r="FL37" s="74">
        <v>1</v>
      </c>
      <c r="FM37" s="74">
        <v>1</v>
      </c>
      <c r="FN37" s="74">
        <v>1</v>
      </c>
      <c r="FO37" s="74">
        <v>1</v>
      </c>
      <c r="FP37" s="74">
        <v>1</v>
      </c>
      <c r="FQ37" s="74">
        <v>1</v>
      </c>
      <c r="FR37" s="74">
        <v>1</v>
      </c>
      <c r="FS37" s="78">
        <v>1</v>
      </c>
      <c r="FT37" s="74">
        <v>1</v>
      </c>
      <c r="FU37" s="74">
        <v>1</v>
      </c>
      <c r="FV37" s="74">
        <v>1</v>
      </c>
      <c r="FW37" s="74">
        <v>1</v>
      </c>
      <c r="FX37" s="74">
        <v>1</v>
      </c>
      <c r="FY37" s="74">
        <v>1</v>
      </c>
      <c r="FZ37" s="74">
        <v>1</v>
      </c>
      <c r="GA37" s="74">
        <v>1</v>
      </c>
      <c r="GB37" s="74">
        <v>1</v>
      </c>
      <c r="GC37" s="74">
        <v>1</v>
      </c>
      <c r="GD37" s="74">
        <v>1</v>
      </c>
      <c r="GE37" s="74">
        <v>1</v>
      </c>
      <c r="GF37" s="74">
        <v>1</v>
      </c>
      <c r="GG37" s="74">
        <v>1</v>
      </c>
      <c r="GH37" s="74">
        <v>1</v>
      </c>
      <c r="GI37" s="74">
        <v>1</v>
      </c>
      <c r="GJ37" s="74">
        <v>1</v>
      </c>
      <c r="GK37" s="74">
        <v>1</v>
      </c>
      <c r="GL37" s="74">
        <v>1</v>
      </c>
      <c r="GM37" s="74">
        <v>1</v>
      </c>
      <c r="GN37" s="74">
        <v>1</v>
      </c>
      <c r="GO37" s="74">
        <v>1</v>
      </c>
      <c r="GP37" s="74">
        <v>1</v>
      </c>
      <c r="GQ37" s="78">
        <v>1</v>
      </c>
      <c r="GR37" s="74">
        <v>1</v>
      </c>
      <c r="GS37" s="74">
        <v>1</v>
      </c>
      <c r="GT37" s="74">
        <v>1</v>
      </c>
      <c r="GU37" s="74">
        <v>1</v>
      </c>
      <c r="GV37" s="74">
        <v>1</v>
      </c>
      <c r="GW37" s="74">
        <v>1</v>
      </c>
      <c r="GX37" s="74">
        <v>1</v>
      </c>
      <c r="GY37" s="74">
        <v>1</v>
      </c>
      <c r="GZ37" s="74">
        <v>1</v>
      </c>
      <c r="HA37" s="74">
        <v>1</v>
      </c>
      <c r="HB37" s="74">
        <v>1</v>
      </c>
      <c r="HC37" s="74">
        <v>1</v>
      </c>
      <c r="HD37" s="74">
        <v>1</v>
      </c>
      <c r="HE37" s="74">
        <v>1</v>
      </c>
      <c r="HF37" s="74">
        <v>1</v>
      </c>
      <c r="HG37" s="74">
        <v>1</v>
      </c>
      <c r="HH37" s="74">
        <v>1</v>
      </c>
      <c r="HI37" s="74">
        <v>1</v>
      </c>
      <c r="HJ37" s="74">
        <v>1</v>
      </c>
      <c r="HK37" s="74">
        <v>1</v>
      </c>
      <c r="HL37" s="74">
        <v>1</v>
      </c>
      <c r="HM37" s="74">
        <v>1</v>
      </c>
      <c r="HN37" s="74">
        <v>1</v>
      </c>
      <c r="HO37" s="74">
        <v>1</v>
      </c>
      <c r="HP37" s="74">
        <v>1</v>
      </c>
      <c r="HQ37" s="74">
        <v>1</v>
      </c>
      <c r="HR37" s="74">
        <v>1</v>
      </c>
      <c r="HS37" s="74">
        <v>1</v>
      </c>
      <c r="HT37" s="74">
        <v>1</v>
      </c>
      <c r="HU37" s="74">
        <v>1</v>
      </c>
      <c r="HV37" s="74">
        <v>1</v>
      </c>
      <c r="HW37" s="74">
        <v>1</v>
      </c>
      <c r="HX37" s="75">
        <v>1</v>
      </c>
    </row>
    <row r="38" spans="1:232" x14ac:dyDescent="0.2">
      <c r="A38" s="27" t="s">
        <v>124</v>
      </c>
      <c r="B38" s="83" t="s">
        <v>84</v>
      </c>
      <c r="C38" s="80" t="s">
        <v>131</v>
      </c>
      <c r="D38" s="81">
        <v>5.2</v>
      </c>
      <c r="E38" s="80" t="s">
        <v>127</v>
      </c>
      <c r="F38" s="80" t="s">
        <v>122</v>
      </c>
      <c r="G38" s="78">
        <v>1</v>
      </c>
      <c r="H38" s="74">
        <v>1</v>
      </c>
      <c r="I38" s="74">
        <v>1</v>
      </c>
      <c r="J38" s="74">
        <v>1</v>
      </c>
      <c r="K38" s="74">
        <v>1</v>
      </c>
      <c r="L38" s="74">
        <v>1</v>
      </c>
      <c r="M38" s="74">
        <v>1</v>
      </c>
      <c r="N38" s="74">
        <v>1</v>
      </c>
      <c r="O38" s="74">
        <v>1</v>
      </c>
      <c r="P38" s="74">
        <v>1</v>
      </c>
      <c r="Q38" s="74">
        <v>1</v>
      </c>
      <c r="R38" s="74">
        <v>1</v>
      </c>
      <c r="S38" s="74">
        <v>1</v>
      </c>
      <c r="T38" s="74">
        <v>1</v>
      </c>
      <c r="U38" s="74">
        <v>1</v>
      </c>
      <c r="V38" s="74">
        <v>1</v>
      </c>
      <c r="W38" s="74">
        <v>1</v>
      </c>
      <c r="X38" s="74">
        <v>1</v>
      </c>
      <c r="Y38" s="74">
        <v>1</v>
      </c>
      <c r="Z38" s="74">
        <v>1</v>
      </c>
      <c r="AA38" s="74">
        <v>1</v>
      </c>
      <c r="AB38" s="74">
        <v>1</v>
      </c>
      <c r="AC38" s="74">
        <v>1</v>
      </c>
      <c r="AD38" s="74">
        <v>1</v>
      </c>
      <c r="AE38" s="78">
        <v>1</v>
      </c>
      <c r="AF38" s="74">
        <v>1</v>
      </c>
      <c r="AG38" s="74">
        <v>1</v>
      </c>
      <c r="AH38" s="74">
        <v>1</v>
      </c>
      <c r="AI38" s="74">
        <v>1</v>
      </c>
      <c r="AJ38" s="74">
        <v>1</v>
      </c>
      <c r="AK38" s="74">
        <v>1</v>
      </c>
      <c r="AL38" s="74">
        <v>1</v>
      </c>
      <c r="AM38" s="74">
        <v>1</v>
      </c>
      <c r="AN38" s="74">
        <v>1</v>
      </c>
      <c r="AO38" s="74">
        <v>1</v>
      </c>
      <c r="AP38" s="74">
        <v>1</v>
      </c>
      <c r="AQ38" s="74">
        <v>1</v>
      </c>
      <c r="AR38" s="74">
        <v>1</v>
      </c>
      <c r="AS38" s="74">
        <v>1</v>
      </c>
      <c r="AT38" s="74">
        <v>1</v>
      </c>
      <c r="AU38" s="74">
        <v>1</v>
      </c>
      <c r="AV38" s="74">
        <v>1</v>
      </c>
      <c r="AW38" s="74">
        <v>1</v>
      </c>
      <c r="AX38" s="74">
        <v>1</v>
      </c>
      <c r="AY38" s="74">
        <v>1</v>
      </c>
      <c r="AZ38" s="74">
        <v>1</v>
      </c>
      <c r="BA38" s="74">
        <v>1</v>
      </c>
      <c r="BB38" s="74">
        <v>1</v>
      </c>
      <c r="BC38" s="78">
        <v>1</v>
      </c>
      <c r="BD38" s="74">
        <v>1</v>
      </c>
      <c r="BE38" s="74">
        <v>1</v>
      </c>
      <c r="BF38" s="74">
        <v>1</v>
      </c>
      <c r="BG38" s="74">
        <v>1</v>
      </c>
      <c r="BH38" s="74">
        <v>1</v>
      </c>
      <c r="BI38" s="74">
        <v>1</v>
      </c>
      <c r="BJ38" s="74">
        <v>1</v>
      </c>
      <c r="BK38" s="74">
        <v>1</v>
      </c>
      <c r="BL38" s="74">
        <v>1</v>
      </c>
      <c r="BM38" s="74">
        <v>1</v>
      </c>
      <c r="BN38" s="74">
        <v>1</v>
      </c>
      <c r="BO38" s="74">
        <v>1</v>
      </c>
      <c r="BP38" s="74">
        <v>1</v>
      </c>
      <c r="BQ38" s="74">
        <v>1</v>
      </c>
      <c r="BR38" s="74">
        <v>1</v>
      </c>
      <c r="BS38" s="74">
        <v>1</v>
      </c>
      <c r="BT38" s="74">
        <v>1</v>
      </c>
      <c r="BU38" s="74">
        <v>1</v>
      </c>
      <c r="BV38" s="74">
        <v>1</v>
      </c>
      <c r="BW38" s="74">
        <v>1</v>
      </c>
      <c r="BX38" s="74">
        <v>1</v>
      </c>
      <c r="BY38" s="74">
        <v>1</v>
      </c>
      <c r="BZ38" s="74">
        <v>1</v>
      </c>
      <c r="CA38" s="78">
        <v>1</v>
      </c>
      <c r="CB38" s="74">
        <v>1</v>
      </c>
      <c r="CC38" s="74">
        <v>1</v>
      </c>
      <c r="CD38" s="74">
        <v>1</v>
      </c>
      <c r="CE38" s="74">
        <v>1</v>
      </c>
      <c r="CF38" s="74">
        <v>1</v>
      </c>
      <c r="CG38" s="74">
        <v>1</v>
      </c>
      <c r="CH38" s="74">
        <v>1</v>
      </c>
      <c r="CI38" s="74">
        <v>1</v>
      </c>
      <c r="CJ38" s="74">
        <v>1</v>
      </c>
      <c r="CK38" s="74">
        <v>1</v>
      </c>
      <c r="CL38" s="74">
        <v>1</v>
      </c>
      <c r="CM38" s="74">
        <v>1</v>
      </c>
      <c r="CN38" s="74">
        <v>1</v>
      </c>
      <c r="CO38" s="74">
        <v>1</v>
      </c>
      <c r="CP38" s="74">
        <v>1</v>
      </c>
      <c r="CQ38" s="74">
        <v>1</v>
      </c>
      <c r="CR38" s="74">
        <v>1</v>
      </c>
      <c r="CS38" s="74">
        <v>1</v>
      </c>
      <c r="CT38" s="74">
        <v>1</v>
      </c>
      <c r="CU38" s="74">
        <v>1</v>
      </c>
      <c r="CV38" s="74">
        <v>1</v>
      </c>
      <c r="CW38" s="74">
        <v>1</v>
      </c>
      <c r="CX38" s="74">
        <v>1</v>
      </c>
      <c r="CY38" s="78">
        <v>1</v>
      </c>
      <c r="CZ38" s="74">
        <v>1</v>
      </c>
      <c r="DA38" s="74">
        <v>1</v>
      </c>
      <c r="DB38" s="74">
        <v>1</v>
      </c>
      <c r="DC38" s="74">
        <v>1</v>
      </c>
      <c r="DD38" s="74">
        <v>1</v>
      </c>
      <c r="DE38" s="74">
        <v>1</v>
      </c>
      <c r="DF38" s="74">
        <v>1</v>
      </c>
      <c r="DG38" s="74">
        <v>1</v>
      </c>
      <c r="DH38" s="74">
        <v>1</v>
      </c>
      <c r="DI38" s="74">
        <v>1</v>
      </c>
      <c r="DJ38" s="74">
        <v>1</v>
      </c>
      <c r="DK38" s="74">
        <v>1</v>
      </c>
      <c r="DL38" s="74">
        <v>1</v>
      </c>
      <c r="DM38" s="74">
        <v>1</v>
      </c>
      <c r="DN38" s="74">
        <v>1</v>
      </c>
      <c r="DO38" s="74">
        <v>1</v>
      </c>
      <c r="DP38" s="74">
        <v>1</v>
      </c>
      <c r="DQ38" s="74">
        <v>1</v>
      </c>
      <c r="DR38" s="74">
        <v>1</v>
      </c>
      <c r="DS38" s="74">
        <v>1</v>
      </c>
      <c r="DT38" s="74">
        <v>1</v>
      </c>
      <c r="DU38" s="74">
        <v>1</v>
      </c>
      <c r="DV38" s="74">
        <v>1</v>
      </c>
      <c r="DW38" s="78">
        <v>1</v>
      </c>
      <c r="DX38" s="74">
        <v>1</v>
      </c>
      <c r="DY38" s="74">
        <v>1</v>
      </c>
      <c r="DZ38" s="74">
        <v>1</v>
      </c>
      <c r="EA38" s="74">
        <v>1</v>
      </c>
      <c r="EB38" s="74">
        <v>1</v>
      </c>
      <c r="EC38" s="74">
        <v>1</v>
      </c>
      <c r="ED38" s="74">
        <v>1</v>
      </c>
      <c r="EE38" s="74">
        <v>1</v>
      </c>
      <c r="EF38" s="74">
        <v>1</v>
      </c>
      <c r="EG38" s="74">
        <v>1</v>
      </c>
      <c r="EH38" s="74">
        <v>1</v>
      </c>
      <c r="EI38" s="74">
        <v>1</v>
      </c>
      <c r="EJ38" s="74">
        <v>1</v>
      </c>
      <c r="EK38" s="74">
        <v>1</v>
      </c>
      <c r="EL38" s="74">
        <v>1</v>
      </c>
      <c r="EM38" s="74">
        <v>1</v>
      </c>
      <c r="EN38" s="74">
        <v>1</v>
      </c>
      <c r="EO38" s="74">
        <v>1</v>
      </c>
      <c r="EP38" s="74">
        <v>1</v>
      </c>
      <c r="EQ38" s="74">
        <v>1</v>
      </c>
      <c r="ER38" s="74">
        <v>1</v>
      </c>
      <c r="ES38" s="74">
        <v>1</v>
      </c>
      <c r="ET38" s="74">
        <v>1</v>
      </c>
      <c r="EU38" s="78">
        <v>1</v>
      </c>
      <c r="EV38" s="74">
        <v>1</v>
      </c>
      <c r="EW38" s="74">
        <v>1</v>
      </c>
      <c r="EX38" s="74">
        <v>1</v>
      </c>
      <c r="EY38" s="74">
        <v>1</v>
      </c>
      <c r="EZ38" s="74">
        <v>1</v>
      </c>
      <c r="FA38" s="74">
        <v>1</v>
      </c>
      <c r="FB38" s="74">
        <v>1</v>
      </c>
      <c r="FC38" s="74">
        <v>1</v>
      </c>
      <c r="FD38" s="74">
        <v>1</v>
      </c>
      <c r="FE38" s="74">
        <v>1</v>
      </c>
      <c r="FF38" s="74">
        <v>1</v>
      </c>
      <c r="FG38" s="74">
        <v>1</v>
      </c>
      <c r="FH38" s="74">
        <v>1</v>
      </c>
      <c r="FI38" s="74">
        <v>1</v>
      </c>
      <c r="FJ38" s="74">
        <v>1</v>
      </c>
      <c r="FK38" s="74">
        <v>1</v>
      </c>
      <c r="FL38" s="74">
        <v>1</v>
      </c>
      <c r="FM38" s="74">
        <v>1</v>
      </c>
      <c r="FN38" s="74">
        <v>1</v>
      </c>
      <c r="FO38" s="74">
        <v>1</v>
      </c>
      <c r="FP38" s="74">
        <v>1</v>
      </c>
      <c r="FQ38" s="74">
        <v>1</v>
      </c>
      <c r="FR38" s="74">
        <v>1</v>
      </c>
      <c r="FS38" s="78">
        <v>1</v>
      </c>
      <c r="FT38" s="74">
        <v>1</v>
      </c>
      <c r="FU38" s="74">
        <v>1</v>
      </c>
      <c r="FV38" s="74">
        <v>1</v>
      </c>
      <c r="FW38" s="74">
        <v>1</v>
      </c>
      <c r="FX38" s="74">
        <v>1</v>
      </c>
      <c r="FY38" s="74">
        <v>1</v>
      </c>
      <c r="FZ38" s="74">
        <v>1</v>
      </c>
      <c r="GA38" s="74">
        <v>1</v>
      </c>
      <c r="GB38" s="74">
        <v>1</v>
      </c>
      <c r="GC38" s="74">
        <v>1</v>
      </c>
      <c r="GD38" s="74">
        <v>1</v>
      </c>
      <c r="GE38" s="74">
        <v>1</v>
      </c>
      <c r="GF38" s="74">
        <v>1</v>
      </c>
      <c r="GG38" s="74">
        <v>1</v>
      </c>
      <c r="GH38" s="74">
        <v>1</v>
      </c>
      <c r="GI38" s="74">
        <v>1</v>
      </c>
      <c r="GJ38" s="74">
        <v>1</v>
      </c>
      <c r="GK38" s="74">
        <v>1</v>
      </c>
      <c r="GL38" s="74">
        <v>1</v>
      </c>
      <c r="GM38" s="74">
        <v>1</v>
      </c>
      <c r="GN38" s="74">
        <v>1</v>
      </c>
      <c r="GO38" s="74">
        <v>1</v>
      </c>
      <c r="GP38" s="74">
        <v>1</v>
      </c>
      <c r="GQ38" s="78">
        <v>1</v>
      </c>
      <c r="GR38" s="74">
        <v>1</v>
      </c>
      <c r="GS38" s="74">
        <v>1</v>
      </c>
      <c r="GT38" s="74">
        <v>1</v>
      </c>
      <c r="GU38" s="74">
        <v>1</v>
      </c>
      <c r="GV38" s="74">
        <v>1</v>
      </c>
      <c r="GW38" s="74">
        <v>1</v>
      </c>
      <c r="GX38" s="74">
        <v>1</v>
      </c>
      <c r="GY38" s="74">
        <v>1</v>
      </c>
      <c r="GZ38" s="74">
        <v>1</v>
      </c>
      <c r="HA38" s="74">
        <v>1</v>
      </c>
      <c r="HB38" s="74">
        <v>1</v>
      </c>
      <c r="HC38" s="74">
        <v>1</v>
      </c>
      <c r="HD38" s="74">
        <v>1</v>
      </c>
      <c r="HE38" s="74">
        <v>1</v>
      </c>
      <c r="HF38" s="74">
        <v>1</v>
      </c>
      <c r="HG38" s="74">
        <v>1</v>
      </c>
      <c r="HH38" s="74">
        <v>1</v>
      </c>
      <c r="HI38" s="74">
        <v>1</v>
      </c>
      <c r="HJ38" s="74">
        <v>1</v>
      </c>
      <c r="HK38" s="74">
        <v>1</v>
      </c>
      <c r="HL38" s="74">
        <v>1</v>
      </c>
      <c r="HM38" s="74">
        <v>1</v>
      </c>
      <c r="HN38" s="74">
        <v>1</v>
      </c>
      <c r="HO38" s="74">
        <v>1</v>
      </c>
      <c r="HP38" s="74">
        <v>1</v>
      </c>
      <c r="HQ38" s="74">
        <v>1</v>
      </c>
      <c r="HR38" s="74">
        <v>1</v>
      </c>
      <c r="HS38" s="74">
        <v>1</v>
      </c>
      <c r="HT38" s="74">
        <v>1</v>
      </c>
      <c r="HU38" s="74">
        <v>1</v>
      </c>
      <c r="HV38" s="74">
        <v>1</v>
      </c>
      <c r="HW38" s="74">
        <v>1</v>
      </c>
      <c r="HX38" s="75">
        <v>1</v>
      </c>
    </row>
    <row r="39" spans="1:232" x14ac:dyDescent="0.2">
      <c r="A39" s="27" t="s">
        <v>124</v>
      </c>
      <c r="B39" s="83" t="s">
        <v>85</v>
      </c>
      <c r="C39" s="80" t="s">
        <v>131</v>
      </c>
      <c r="D39" s="81">
        <v>5.2</v>
      </c>
      <c r="E39" s="80" t="s">
        <v>127</v>
      </c>
      <c r="F39" s="80" t="s">
        <v>122</v>
      </c>
      <c r="G39" s="78">
        <v>1</v>
      </c>
      <c r="H39" s="74">
        <v>1</v>
      </c>
      <c r="I39" s="74">
        <v>1</v>
      </c>
      <c r="J39" s="74">
        <v>1</v>
      </c>
      <c r="K39" s="74">
        <v>1</v>
      </c>
      <c r="L39" s="74">
        <v>1</v>
      </c>
      <c r="M39" s="74">
        <v>1</v>
      </c>
      <c r="N39" s="74">
        <v>1</v>
      </c>
      <c r="O39" s="74">
        <v>1</v>
      </c>
      <c r="P39" s="74">
        <v>1</v>
      </c>
      <c r="Q39" s="74">
        <v>1</v>
      </c>
      <c r="R39" s="74">
        <v>1</v>
      </c>
      <c r="S39" s="74">
        <v>1</v>
      </c>
      <c r="T39" s="74">
        <v>1</v>
      </c>
      <c r="U39" s="74">
        <v>1</v>
      </c>
      <c r="V39" s="74">
        <v>1</v>
      </c>
      <c r="W39" s="74">
        <v>1</v>
      </c>
      <c r="X39" s="74">
        <v>1</v>
      </c>
      <c r="Y39" s="74">
        <v>1</v>
      </c>
      <c r="Z39" s="74">
        <v>1</v>
      </c>
      <c r="AA39" s="74">
        <v>1</v>
      </c>
      <c r="AB39" s="74">
        <v>1</v>
      </c>
      <c r="AC39" s="74">
        <v>1</v>
      </c>
      <c r="AD39" s="74">
        <v>1</v>
      </c>
      <c r="AE39" s="78">
        <v>1</v>
      </c>
      <c r="AF39" s="74">
        <v>1</v>
      </c>
      <c r="AG39" s="74">
        <v>1</v>
      </c>
      <c r="AH39" s="74">
        <v>1</v>
      </c>
      <c r="AI39" s="74">
        <v>1</v>
      </c>
      <c r="AJ39" s="74">
        <v>1</v>
      </c>
      <c r="AK39" s="74">
        <v>1</v>
      </c>
      <c r="AL39" s="74">
        <v>1</v>
      </c>
      <c r="AM39" s="74">
        <v>1</v>
      </c>
      <c r="AN39" s="74">
        <v>1</v>
      </c>
      <c r="AO39" s="74">
        <v>1</v>
      </c>
      <c r="AP39" s="74">
        <v>1</v>
      </c>
      <c r="AQ39" s="74">
        <v>1</v>
      </c>
      <c r="AR39" s="74">
        <v>1</v>
      </c>
      <c r="AS39" s="74">
        <v>1</v>
      </c>
      <c r="AT39" s="74">
        <v>1</v>
      </c>
      <c r="AU39" s="74">
        <v>1</v>
      </c>
      <c r="AV39" s="74">
        <v>1</v>
      </c>
      <c r="AW39" s="74">
        <v>1</v>
      </c>
      <c r="AX39" s="74">
        <v>1</v>
      </c>
      <c r="AY39" s="74">
        <v>1</v>
      </c>
      <c r="AZ39" s="74">
        <v>1</v>
      </c>
      <c r="BA39" s="74">
        <v>1</v>
      </c>
      <c r="BB39" s="74">
        <v>1</v>
      </c>
      <c r="BC39" s="78">
        <v>1</v>
      </c>
      <c r="BD39" s="74">
        <v>1</v>
      </c>
      <c r="BE39" s="74">
        <v>1</v>
      </c>
      <c r="BF39" s="74">
        <v>1</v>
      </c>
      <c r="BG39" s="74">
        <v>1</v>
      </c>
      <c r="BH39" s="74">
        <v>1</v>
      </c>
      <c r="BI39" s="74">
        <v>1</v>
      </c>
      <c r="BJ39" s="74">
        <v>1</v>
      </c>
      <c r="BK39" s="74">
        <v>1</v>
      </c>
      <c r="BL39" s="74">
        <v>1</v>
      </c>
      <c r="BM39" s="74">
        <v>1</v>
      </c>
      <c r="BN39" s="74">
        <v>1</v>
      </c>
      <c r="BO39" s="74">
        <v>1</v>
      </c>
      <c r="BP39" s="74">
        <v>1</v>
      </c>
      <c r="BQ39" s="74">
        <v>1</v>
      </c>
      <c r="BR39" s="74">
        <v>1</v>
      </c>
      <c r="BS39" s="74">
        <v>1</v>
      </c>
      <c r="BT39" s="74">
        <v>1</v>
      </c>
      <c r="BU39" s="74">
        <v>1</v>
      </c>
      <c r="BV39" s="74">
        <v>1</v>
      </c>
      <c r="BW39" s="74">
        <v>1</v>
      </c>
      <c r="BX39" s="74">
        <v>1</v>
      </c>
      <c r="BY39" s="74">
        <v>1</v>
      </c>
      <c r="BZ39" s="74">
        <v>1</v>
      </c>
      <c r="CA39" s="78">
        <v>1</v>
      </c>
      <c r="CB39" s="74">
        <v>1</v>
      </c>
      <c r="CC39" s="74">
        <v>1</v>
      </c>
      <c r="CD39" s="74">
        <v>1</v>
      </c>
      <c r="CE39" s="74">
        <v>1</v>
      </c>
      <c r="CF39" s="74">
        <v>1</v>
      </c>
      <c r="CG39" s="74">
        <v>1</v>
      </c>
      <c r="CH39" s="74">
        <v>1</v>
      </c>
      <c r="CI39" s="74">
        <v>1</v>
      </c>
      <c r="CJ39" s="74">
        <v>1</v>
      </c>
      <c r="CK39" s="74">
        <v>1</v>
      </c>
      <c r="CL39" s="74">
        <v>1</v>
      </c>
      <c r="CM39" s="74">
        <v>1</v>
      </c>
      <c r="CN39" s="74">
        <v>1</v>
      </c>
      <c r="CO39" s="74">
        <v>1</v>
      </c>
      <c r="CP39" s="74">
        <v>1</v>
      </c>
      <c r="CQ39" s="74">
        <v>1</v>
      </c>
      <c r="CR39" s="74">
        <v>1</v>
      </c>
      <c r="CS39" s="74">
        <v>1</v>
      </c>
      <c r="CT39" s="74">
        <v>1</v>
      </c>
      <c r="CU39" s="74">
        <v>1</v>
      </c>
      <c r="CV39" s="74">
        <v>1</v>
      </c>
      <c r="CW39" s="74">
        <v>1</v>
      </c>
      <c r="CX39" s="74">
        <v>1</v>
      </c>
      <c r="CY39" s="78">
        <v>1</v>
      </c>
      <c r="CZ39" s="74">
        <v>1</v>
      </c>
      <c r="DA39" s="74">
        <v>1</v>
      </c>
      <c r="DB39" s="74">
        <v>1</v>
      </c>
      <c r="DC39" s="74">
        <v>1</v>
      </c>
      <c r="DD39" s="74">
        <v>1</v>
      </c>
      <c r="DE39" s="74">
        <v>1</v>
      </c>
      <c r="DF39" s="74">
        <v>1</v>
      </c>
      <c r="DG39" s="74">
        <v>1</v>
      </c>
      <c r="DH39" s="74">
        <v>1</v>
      </c>
      <c r="DI39" s="74">
        <v>1</v>
      </c>
      <c r="DJ39" s="74">
        <v>1</v>
      </c>
      <c r="DK39" s="74">
        <v>1</v>
      </c>
      <c r="DL39" s="74">
        <v>1</v>
      </c>
      <c r="DM39" s="74">
        <v>1</v>
      </c>
      <c r="DN39" s="74">
        <v>1</v>
      </c>
      <c r="DO39" s="74">
        <v>1</v>
      </c>
      <c r="DP39" s="74">
        <v>1</v>
      </c>
      <c r="DQ39" s="74">
        <v>1</v>
      </c>
      <c r="DR39" s="74">
        <v>1</v>
      </c>
      <c r="DS39" s="74">
        <v>1</v>
      </c>
      <c r="DT39" s="74">
        <v>1</v>
      </c>
      <c r="DU39" s="74">
        <v>1</v>
      </c>
      <c r="DV39" s="74">
        <v>1</v>
      </c>
      <c r="DW39" s="78">
        <v>1</v>
      </c>
      <c r="DX39" s="74">
        <v>1</v>
      </c>
      <c r="DY39" s="74">
        <v>1</v>
      </c>
      <c r="DZ39" s="74">
        <v>1</v>
      </c>
      <c r="EA39" s="74">
        <v>1</v>
      </c>
      <c r="EB39" s="74">
        <v>1</v>
      </c>
      <c r="EC39" s="74">
        <v>1</v>
      </c>
      <c r="ED39" s="74">
        <v>1</v>
      </c>
      <c r="EE39" s="74">
        <v>1</v>
      </c>
      <c r="EF39" s="74">
        <v>1</v>
      </c>
      <c r="EG39" s="74">
        <v>1</v>
      </c>
      <c r="EH39" s="74">
        <v>1</v>
      </c>
      <c r="EI39" s="74">
        <v>1</v>
      </c>
      <c r="EJ39" s="74">
        <v>1</v>
      </c>
      <c r="EK39" s="74">
        <v>1</v>
      </c>
      <c r="EL39" s="74">
        <v>1</v>
      </c>
      <c r="EM39" s="74">
        <v>1</v>
      </c>
      <c r="EN39" s="74">
        <v>1</v>
      </c>
      <c r="EO39" s="74">
        <v>1</v>
      </c>
      <c r="EP39" s="74">
        <v>1</v>
      </c>
      <c r="EQ39" s="74">
        <v>1</v>
      </c>
      <c r="ER39" s="74">
        <v>1</v>
      </c>
      <c r="ES39" s="74">
        <v>1</v>
      </c>
      <c r="ET39" s="74">
        <v>1</v>
      </c>
      <c r="EU39" s="78">
        <v>1</v>
      </c>
      <c r="EV39" s="74">
        <v>1</v>
      </c>
      <c r="EW39" s="74">
        <v>1</v>
      </c>
      <c r="EX39" s="74">
        <v>1</v>
      </c>
      <c r="EY39" s="74">
        <v>1</v>
      </c>
      <c r="EZ39" s="74">
        <v>1</v>
      </c>
      <c r="FA39" s="74">
        <v>1</v>
      </c>
      <c r="FB39" s="74">
        <v>1</v>
      </c>
      <c r="FC39" s="74">
        <v>1</v>
      </c>
      <c r="FD39" s="74">
        <v>1</v>
      </c>
      <c r="FE39" s="74">
        <v>1</v>
      </c>
      <c r="FF39" s="74">
        <v>1</v>
      </c>
      <c r="FG39" s="74">
        <v>1</v>
      </c>
      <c r="FH39" s="74">
        <v>1</v>
      </c>
      <c r="FI39" s="74">
        <v>1</v>
      </c>
      <c r="FJ39" s="74">
        <v>1</v>
      </c>
      <c r="FK39" s="74">
        <v>1</v>
      </c>
      <c r="FL39" s="74">
        <v>1</v>
      </c>
      <c r="FM39" s="74">
        <v>1</v>
      </c>
      <c r="FN39" s="74">
        <v>1</v>
      </c>
      <c r="FO39" s="74">
        <v>1</v>
      </c>
      <c r="FP39" s="74">
        <v>1</v>
      </c>
      <c r="FQ39" s="74">
        <v>1</v>
      </c>
      <c r="FR39" s="74">
        <v>1</v>
      </c>
      <c r="FS39" s="78">
        <v>1</v>
      </c>
      <c r="FT39" s="74">
        <v>1</v>
      </c>
      <c r="FU39" s="74">
        <v>1</v>
      </c>
      <c r="FV39" s="74">
        <v>1</v>
      </c>
      <c r="FW39" s="74">
        <v>1</v>
      </c>
      <c r="FX39" s="74">
        <v>1</v>
      </c>
      <c r="FY39" s="74">
        <v>1</v>
      </c>
      <c r="FZ39" s="74">
        <v>1</v>
      </c>
      <c r="GA39" s="74">
        <v>1</v>
      </c>
      <c r="GB39" s="74">
        <v>1</v>
      </c>
      <c r="GC39" s="74">
        <v>1</v>
      </c>
      <c r="GD39" s="74">
        <v>1</v>
      </c>
      <c r="GE39" s="74">
        <v>1</v>
      </c>
      <c r="GF39" s="74">
        <v>1</v>
      </c>
      <c r="GG39" s="74">
        <v>1</v>
      </c>
      <c r="GH39" s="74">
        <v>1</v>
      </c>
      <c r="GI39" s="74">
        <v>1</v>
      </c>
      <c r="GJ39" s="74">
        <v>1</v>
      </c>
      <c r="GK39" s="74">
        <v>1</v>
      </c>
      <c r="GL39" s="74">
        <v>1</v>
      </c>
      <c r="GM39" s="74">
        <v>1</v>
      </c>
      <c r="GN39" s="74">
        <v>1</v>
      </c>
      <c r="GO39" s="74">
        <v>1</v>
      </c>
      <c r="GP39" s="74">
        <v>1</v>
      </c>
      <c r="GQ39" s="78">
        <v>1</v>
      </c>
      <c r="GR39" s="74">
        <v>1</v>
      </c>
      <c r="GS39" s="74">
        <v>1</v>
      </c>
      <c r="GT39" s="74">
        <v>1</v>
      </c>
      <c r="GU39" s="74">
        <v>1</v>
      </c>
      <c r="GV39" s="74">
        <v>1</v>
      </c>
      <c r="GW39" s="74">
        <v>1</v>
      </c>
      <c r="GX39" s="74">
        <v>1</v>
      </c>
      <c r="GY39" s="74">
        <v>1</v>
      </c>
      <c r="GZ39" s="74">
        <v>1</v>
      </c>
      <c r="HA39" s="74">
        <v>1</v>
      </c>
      <c r="HB39" s="74">
        <v>1</v>
      </c>
      <c r="HC39" s="74">
        <v>1</v>
      </c>
      <c r="HD39" s="74">
        <v>1</v>
      </c>
      <c r="HE39" s="74">
        <v>1</v>
      </c>
      <c r="HF39" s="74">
        <v>1</v>
      </c>
      <c r="HG39" s="74">
        <v>1</v>
      </c>
      <c r="HH39" s="74">
        <v>1</v>
      </c>
      <c r="HI39" s="74">
        <v>1</v>
      </c>
      <c r="HJ39" s="74">
        <v>1</v>
      </c>
      <c r="HK39" s="74">
        <v>1</v>
      </c>
      <c r="HL39" s="74">
        <v>1</v>
      </c>
      <c r="HM39" s="74">
        <v>1</v>
      </c>
      <c r="HN39" s="74">
        <v>1</v>
      </c>
      <c r="HO39" s="74">
        <v>1</v>
      </c>
      <c r="HP39" s="74">
        <v>1</v>
      </c>
      <c r="HQ39" s="74">
        <v>1</v>
      </c>
      <c r="HR39" s="74">
        <v>1</v>
      </c>
      <c r="HS39" s="74">
        <v>1</v>
      </c>
      <c r="HT39" s="74">
        <v>1</v>
      </c>
      <c r="HU39" s="74">
        <v>1</v>
      </c>
      <c r="HV39" s="74">
        <v>1</v>
      </c>
      <c r="HW39" s="74">
        <v>1</v>
      </c>
      <c r="HX39" s="75">
        <v>1</v>
      </c>
    </row>
    <row r="40" spans="1:232" x14ac:dyDescent="0.2">
      <c r="A40" s="27" t="s">
        <v>124</v>
      </c>
      <c r="B40" s="83" t="s">
        <v>86</v>
      </c>
      <c r="C40" s="80" t="s">
        <v>131</v>
      </c>
      <c r="D40" s="81">
        <v>5.2</v>
      </c>
      <c r="E40" s="80" t="s">
        <v>127</v>
      </c>
      <c r="F40" s="80" t="s">
        <v>122</v>
      </c>
      <c r="G40" s="78">
        <v>1</v>
      </c>
      <c r="H40" s="74">
        <v>1</v>
      </c>
      <c r="I40" s="74">
        <v>1</v>
      </c>
      <c r="J40" s="74">
        <v>1</v>
      </c>
      <c r="K40" s="74">
        <v>1</v>
      </c>
      <c r="L40" s="74">
        <v>1</v>
      </c>
      <c r="M40" s="74">
        <v>1</v>
      </c>
      <c r="N40" s="74">
        <v>1</v>
      </c>
      <c r="O40" s="74">
        <v>1</v>
      </c>
      <c r="P40" s="74">
        <v>1</v>
      </c>
      <c r="Q40" s="74">
        <v>1</v>
      </c>
      <c r="R40" s="74">
        <v>1</v>
      </c>
      <c r="S40" s="74">
        <v>1</v>
      </c>
      <c r="T40" s="74">
        <v>1</v>
      </c>
      <c r="U40" s="74">
        <v>1</v>
      </c>
      <c r="V40" s="74">
        <v>1</v>
      </c>
      <c r="W40" s="74">
        <v>1</v>
      </c>
      <c r="X40" s="74">
        <v>1</v>
      </c>
      <c r="Y40" s="74">
        <v>1</v>
      </c>
      <c r="Z40" s="74">
        <v>1</v>
      </c>
      <c r="AA40" s="74">
        <v>1</v>
      </c>
      <c r="AB40" s="74">
        <v>1</v>
      </c>
      <c r="AC40" s="74">
        <v>1</v>
      </c>
      <c r="AD40" s="74">
        <v>1</v>
      </c>
      <c r="AE40" s="78">
        <v>1</v>
      </c>
      <c r="AF40" s="74">
        <v>1</v>
      </c>
      <c r="AG40" s="74">
        <v>1</v>
      </c>
      <c r="AH40" s="74">
        <v>1</v>
      </c>
      <c r="AI40" s="74">
        <v>1</v>
      </c>
      <c r="AJ40" s="74">
        <v>1</v>
      </c>
      <c r="AK40" s="74">
        <v>1</v>
      </c>
      <c r="AL40" s="74">
        <v>1</v>
      </c>
      <c r="AM40" s="74">
        <v>1</v>
      </c>
      <c r="AN40" s="74">
        <v>1</v>
      </c>
      <c r="AO40" s="74">
        <v>1</v>
      </c>
      <c r="AP40" s="74">
        <v>1</v>
      </c>
      <c r="AQ40" s="74">
        <v>1</v>
      </c>
      <c r="AR40" s="74">
        <v>1</v>
      </c>
      <c r="AS40" s="74">
        <v>1</v>
      </c>
      <c r="AT40" s="74">
        <v>1</v>
      </c>
      <c r="AU40" s="74">
        <v>1</v>
      </c>
      <c r="AV40" s="74">
        <v>1</v>
      </c>
      <c r="AW40" s="74">
        <v>1</v>
      </c>
      <c r="AX40" s="74">
        <v>1</v>
      </c>
      <c r="AY40" s="74">
        <v>1</v>
      </c>
      <c r="AZ40" s="74">
        <v>1</v>
      </c>
      <c r="BA40" s="74">
        <v>1</v>
      </c>
      <c r="BB40" s="74">
        <v>1</v>
      </c>
      <c r="BC40" s="78">
        <v>1</v>
      </c>
      <c r="BD40" s="74">
        <v>1</v>
      </c>
      <c r="BE40" s="74">
        <v>1</v>
      </c>
      <c r="BF40" s="74">
        <v>1</v>
      </c>
      <c r="BG40" s="74">
        <v>1</v>
      </c>
      <c r="BH40" s="74">
        <v>1</v>
      </c>
      <c r="BI40" s="74">
        <v>1</v>
      </c>
      <c r="BJ40" s="74">
        <v>1</v>
      </c>
      <c r="BK40" s="74">
        <v>1</v>
      </c>
      <c r="BL40" s="74">
        <v>1</v>
      </c>
      <c r="BM40" s="74">
        <v>1</v>
      </c>
      <c r="BN40" s="74">
        <v>1</v>
      </c>
      <c r="BO40" s="74">
        <v>1</v>
      </c>
      <c r="BP40" s="74">
        <v>1</v>
      </c>
      <c r="BQ40" s="74">
        <v>1</v>
      </c>
      <c r="BR40" s="74">
        <v>1</v>
      </c>
      <c r="BS40" s="74">
        <v>1</v>
      </c>
      <c r="BT40" s="74">
        <v>1</v>
      </c>
      <c r="BU40" s="74">
        <v>1</v>
      </c>
      <c r="BV40" s="74">
        <v>1</v>
      </c>
      <c r="BW40" s="74">
        <v>1</v>
      </c>
      <c r="BX40" s="74">
        <v>1</v>
      </c>
      <c r="BY40" s="74">
        <v>1</v>
      </c>
      <c r="BZ40" s="74">
        <v>1</v>
      </c>
      <c r="CA40" s="78">
        <v>1</v>
      </c>
      <c r="CB40" s="74">
        <v>1</v>
      </c>
      <c r="CC40" s="74">
        <v>1</v>
      </c>
      <c r="CD40" s="74">
        <v>1</v>
      </c>
      <c r="CE40" s="74">
        <v>1</v>
      </c>
      <c r="CF40" s="74">
        <v>1</v>
      </c>
      <c r="CG40" s="74">
        <v>1</v>
      </c>
      <c r="CH40" s="74">
        <v>1</v>
      </c>
      <c r="CI40" s="74">
        <v>1</v>
      </c>
      <c r="CJ40" s="74">
        <v>1</v>
      </c>
      <c r="CK40" s="74">
        <v>1</v>
      </c>
      <c r="CL40" s="74">
        <v>1</v>
      </c>
      <c r="CM40" s="74">
        <v>1</v>
      </c>
      <c r="CN40" s="74">
        <v>1</v>
      </c>
      <c r="CO40" s="74">
        <v>1</v>
      </c>
      <c r="CP40" s="74">
        <v>1</v>
      </c>
      <c r="CQ40" s="74">
        <v>1</v>
      </c>
      <c r="CR40" s="74">
        <v>1</v>
      </c>
      <c r="CS40" s="74">
        <v>1</v>
      </c>
      <c r="CT40" s="74">
        <v>1</v>
      </c>
      <c r="CU40" s="74">
        <v>1</v>
      </c>
      <c r="CV40" s="74">
        <v>1</v>
      </c>
      <c r="CW40" s="74">
        <v>1</v>
      </c>
      <c r="CX40" s="74">
        <v>1</v>
      </c>
      <c r="CY40" s="78">
        <v>1</v>
      </c>
      <c r="CZ40" s="74">
        <v>1</v>
      </c>
      <c r="DA40" s="74">
        <v>1</v>
      </c>
      <c r="DB40" s="74">
        <v>1</v>
      </c>
      <c r="DC40" s="74">
        <v>1</v>
      </c>
      <c r="DD40" s="74">
        <v>1</v>
      </c>
      <c r="DE40" s="74">
        <v>1</v>
      </c>
      <c r="DF40" s="74">
        <v>1</v>
      </c>
      <c r="DG40" s="74">
        <v>1</v>
      </c>
      <c r="DH40" s="74">
        <v>1</v>
      </c>
      <c r="DI40" s="74">
        <v>1</v>
      </c>
      <c r="DJ40" s="74">
        <v>1</v>
      </c>
      <c r="DK40" s="74">
        <v>1</v>
      </c>
      <c r="DL40" s="74">
        <v>1</v>
      </c>
      <c r="DM40" s="74">
        <v>1</v>
      </c>
      <c r="DN40" s="74">
        <v>1</v>
      </c>
      <c r="DO40" s="74">
        <v>1</v>
      </c>
      <c r="DP40" s="74">
        <v>1</v>
      </c>
      <c r="DQ40" s="74">
        <v>1</v>
      </c>
      <c r="DR40" s="74">
        <v>1</v>
      </c>
      <c r="DS40" s="74">
        <v>1</v>
      </c>
      <c r="DT40" s="74">
        <v>1</v>
      </c>
      <c r="DU40" s="74">
        <v>1</v>
      </c>
      <c r="DV40" s="74">
        <v>1</v>
      </c>
      <c r="DW40" s="78">
        <v>1</v>
      </c>
      <c r="DX40" s="74">
        <v>1</v>
      </c>
      <c r="DY40" s="74">
        <v>1</v>
      </c>
      <c r="DZ40" s="74">
        <v>1</v>
      </c>
      <c r="EA40" s="74">
        <v>1</v>
      </c>
      <c r="EB40" s="74">
        <v>1</v>
      </c>
      <c r="EC40" s="74">
        <v>1</v>
      </c>
      <c r="ED40" s="74">
        <v>1</v>
      </c>
      <c r="EE40" s="74">
        <v>1</v>
      </c>
      <c r="EF40" s="74">
        <v>1</v>
      </c>
      <c r="EG40" s="74">
        <v>1</v>
      </c>
      <c r="EH40" s="74">
        <v>1</v>
      </c>
      <c r="EI40" s="74">
        <v>1</v>
      </c>
      <c r="EJ40" s="74">
        <v>1</v>
      </c>
      <c r="EK40" s="74">
        <v>1</v>
      </c>
      <c r="EL40" s="74">
        <v>1</v>
      </c>
      <c r="EM40" s="74">
        <v>1</v>
      </c>
      <c r="EN40" s="74">
        <v>1</v>
      </c>
      <c r="EO40" s="74">
        <v>1</v>
      </c>
      <c r="EP40" s="74">
        <v>1</v>
      </c>
      <c r="EQ40" s="74">
        <v>1</v>
      </c>
      <c r="ER40" s="74">
        <v>1</v>
      </c>
      <c r="ES40" s="74">
        <v>1</v>
      </c>
      <c r="ET40" s="74">
        <v>1</v>
      </c>
      <c r="EU40" s="78">
        <v>1</v>
      </c>
      <c r="EV40" s="74">
        <v>1</v>
      </c>
      <c r="EW40" s="74">
        <v>1</v>
      </c>
      <c r="EX40" s="74">
        <v>1</v>
      </c>
      <c r="EY40" s="74">
        <v>1</v>
      </c>
      <c r="EZ40" s="74">
        <v>1</v>
      </c>
      <c r="FA40" s="74">
        <v>1</v>
      </c>
      <c r="FB40" s="74">
        <v>1</v>
      </c>
      <c r="FC40" s="74">
        <v>1</v>
      </c>
      <c r="FD40" s="74">
        <v>1</v>
      </c>
      <c r="FE40" s="74">
        <v>1</v>
      </c>
      <c r="FF40" s="74">
        <v>1</v>
      </c>
      <c r="FG40" s="74">
        <v>1</v>
      </c>
      <c r="FH40" s="74">
        <v>1</v>
      </c>
      <c r="FI40" s="74">
        <v>1</v>
      </c>
      <c r="FJ40" s="74">
        <v>1</v>
      </c>
      <c r="FK40" s="74">
        <v>1</v>
      </c>
      <c r="FL40" s="74">
        <v>1</v>
      </c>
      <c r="FM40" s="74">
        <v>1</v>
      </c>
      <c r="FN40" s="74">
        <v>1</v>
      </c>
      <c r="FO40" s="74">
        <v>1</v>
      </c>
      <c r="FP40" s="74">
        <v>1</v>
      </c>
      <c r="FQ40" s="74">
        <v>1</v>
      </c>
      <c r="FR40" s="74">
        <v>1</v>
      </c>
      <c r="FS40" s="78">
        <v>1</v>
      </c>
      <c r="FT40" s="74">
        <v>1</v>
      </c>
      <c r="FU40" s="74">
        <v>1</v>
      </c>
      <c r="FV40" s="74">
        <v>1</v>
      </c>
      <c r="FW40" s="74">
        <v>1</v>
      </c>
      <c r="FX40" s="74">
        <v>1</v>
      </c>
      <c r="FY40" s="74">
        <v>1</v>
      </c>
      <c r="FZ40" s="74">
        <v>1</v>
      </c>
      <c r="GA40" s="74">
        <v>1</v>
      </c>
      <c r="GB40" s="74">
        <v>1</v>
      </c>
      <c r="GC40" s="74">
        <v>1</v>
      </c>
      <c r="GD40" s="74">
        <v>1</v>
      </c>
      <c r="GE40" s="74">
        <v>1</v>
      </c>
      <c r="GF40" s="74">
        <v>1</v>
      </c>
      <c r="GG40" s="74">
        <v>1</v>
      </c>
      <c r="GH40" s="74">
        <v>1</v>
      </c>
      <c r="GI40" s="74">
        <v>1</v>
      </c>
      <c r="GJ40" s="74">
        <v>1</v>
      </c>
      <c r="GK40" s="74">
        <v>1</v>
      </c>
      <c r="GL40" s="74">
        <v>1</v>
      </c>
      <c r="GM40" s="74">
        <v>1</v>
      </c>
      <c r="GN40" s="74">
        <v>1</v>
      </c>
      <c r="GO40" s="74">
        <v>1</v>
      </c>
      <c r="GP40" s="74">
        <v>1</v>
      </c>
      <c r="GQ40" s="78">
        <v>1</v>
      </c>
      <c r="GR40" s="74">
        <v>1</v>
      </c>
      <c r="GS40" s="74">
        <v>1</v>
      </c>
      <c r="GT40" s="74">
        <v>1</v>
      </c>
      <c r="GU40" s="74">
        <v>1</v>
      </c>
      <c r="GV40" s="74">
        <v>1</v>
      </c>
      <c r="GW40" s="74">
        <v>1</v>
      </c>
      <c r="GX40" s="74">
        <v>1</v>
      </c>
      <c r="GY40" s="74">
        <v>1</v>
      </c>
      <c r="GZ40" s="74">
        <v>1</v>
      </c>
      <c r="HA40" s="74">
        <v>1</v>
      </c>
      <c r="HB40" s="74">
        <v>1</v>
      </c>
      <c r="HC40" s="74">
        <v>1</v>
      </c>
      <c r="HD40" s="74">
        <v>1</v>
      </c>
      <c r="HE40" s="74">
        <v>1</v>
      </c>
      <c r="HF40" s="74">
        <v>1</v>
      </c>
      <c r="HG40" s="74">
        <v>1</v>
      </c>
      <c r="HH40" s="74">
        <v>1</v>
      </c>
      <c r="HI40" s="74">
        <v>1</v>
      </c>
      <c r="HJ40" s="74">
        <v>1</v>
      </c>
      <c r="HK40" s="74">
        <v>1</v>
      </c>
      <c r="HL40" s="74">
        <v>1</v>
      </c>
      <c r="HM40" s="74">
        <v>1</v>
      </c>
      <c r="HN40" s="74">
        <v>1</v>
      </c>
      <c r="HO40" s="74">
        <v>1</v>
      </c>
      <c r="HP40" s="74">
        <v>1</v>
      </c>
      <c r="HQ40" s="74">
        <v>1</v>
      </c>
      <c r="HR40" s="74">
        <v>1</v>
      </c>
      <c r="HS40" s="74">
        <v>1</v>
      </c>
      <c r="HT40" s="74">
        <v>1</v>
      </c>
      <c r="HU40" s="74">
        <v>1</v>
      </c>
      <c r="HV40" s="74">
        <v>1</v>
      </c>
      <c r="HW40" s="74">
        <v>1</v>
      </c>
      <c r="HX40" s="75">
        <v>1</v>
      </c>
    </row>
    <row r="41" spans="1:232" x14ac:dyDescent="0.2">
      <c r="A41" s="27" t="s">
        <v>124</v>
      </c>
      <c r="B41" s="83" t="s">
        <v>87</v>
      </c>
      <c r="C41" s="80" t="s">
        <v>131</v>
      </c>
      <c r="D41" s="81">
        <v>5.2</v>
      </c>
      <c r="E41" s="80" t="s">
        <v>127</v>
      </c>
      <c r="F41" s="80" t="s">
        <v>122</v>
      </c>
      <c r="G41" s="78">
        <v>1</v>
      </c>
      <c r="H41" s="74">
        <v>1</v>
      </c>
      <c r="I41" s="74">
        <v>1</v>
      </c>
      <c r="J41" s="74">
        <v>1</v>
      </c>
      <c r="K41" s="74">
        <v>1</v>
      </c>
      <c r="L41" s="74">
        <v>1</v>
      </c>
      <c r="M41" s="74">
        <v>1</v>
      </c>
      <c r="N41" s="74">
        <v>1</v>
      </c>
      <c r="O41" s="74">
        <v>1</v>
      </c>
      <c r="P41" s="74">
        <v>1</v>
      </c>
      <c r="Q41" s="74">
        <v>1</v>
      </c>
      <c r="R41" s="74">
        <v>1</v>
      </c>
      <c r="S41" s="74">
        <v>1</v>
      </c>
      <c r="T41" s="74">
        <v>1</v>
      </c>
      <c r="U41" s="74">
        <v>1</v>
      </c>
      <c r="V41" s="74">
        <v>1</v>
      </c>
      <c r="W41" s="74">
        <v>1</v>
      </c>
      <c r="X41" s="74">
        <v>1</v>
      </c>
      <c r="Y41" s="74">
        <v>1</v>
      </c>
      <c r="Z41" s="74">
        <v>1</v>
      </c>
      <c r="AA41" s="74">
        <v>1</v>
      </c>
      <c r="AB41" s="74">
        <v>1</v>
      </c>
      <c r="AC41" s="74">
        <v>1</v>
      </c>
      <c r="AD41" s="74">
        <v>1</v>
      </c>
      <c r="AE41" s="78">
        <v>1</v>
      </c>
      <c r="AF41" s="74">
        <v>1</v>
      </c>
      <c r="AG41" s="74">
        <v>1</v>
      </c>
      <c r="AH41" s="74">
        <v>1</v>
      </c>
      <c r="AI41" s="74">
        <v>1</v>
      </c>
      <c r="AJ41" s="74">
        <v>1</v>
      </c>
      <c r="AK41" s="74">
        <v>1</v>
      </c>
      <c r="AL41" s="74">
        <v>1</v>
      </c>
      <c r="AM41" s="74">
        <v>1</v>
      </c>
      <c r="AN41" s="74">
        <v>1</v>
      </c>
      <c r="AO41" s="74">
        <v>1</v>
      </c>
      <c r="AP41" s="74">
        <v>1</v>
      </c>
      <c r="AQ41" s="74">
        <v>1</v>
      </c>
      <c r="AR41" s="74">
        <v>1</v>
      </c>
      <c r="AS41" s="74">
        <v>1</v>
      </c>
      <c r="AT41" s="74">
        <v>1</v>
      </c>
      <c r="AU41" s="74">
        <v>1</v>
      </c>
      <c r="AV41" s="74">
        <v>1</v>
      </c>
      <c r="AW41" s="74">
        <v>1</v>
      </c>
      <c r="AX41" s="74">
        <v>1</v>
      </c>
      <c r="AY41" s="74">
        <v>1</v>
      </c>
      <c r="AZ41" s="74">
        <v>1</v>
      </c>
      <c r="BA41" s="74">
        <v>1</v>
      </c>
      <c r="BB41" s="74">
        <v>1</v>
      </c>
      <c r="BC41" s="78">
        <v>1</v>
      </c>
      <c r="BD41" s="74">
        <v>1</v>
      </c>
      <c r="BE41" s="74">
        <v>1</v>
      </c>
      <c r="BF41" s="74">
        <v>1</v>
      </c>
      <c r="BG41" s="74">
        <v>1</v>
      </c>
      <c r="BH41" s="74">
        <v>1</v>
      </c>
      <c r="BI41" s="74">
        <v>1</v>
      </c>
      <c r="BJ41" s="74">
        <v>1</v>
      </c>
      <c r="BK41" s="74">
        <v>1</v>
      </c>
      <c r="BL41" s="74">
        <v>1</v>
      </c>
      <c r="BM41" s="74">
        <v>1</v>
      </c>
      <c r="BN41" s="74">
        <v>1</v>
      </c>
      <c r="BO41" s="74">
        <v>1</v>
      </c>
      <c r="BP41" s="74">
        <v>1</v>
      </c>
      <c r="BQ41" s="74">
        <v>1</v>
      </c>
      <c r="BR41" s="74">
        <v>1</v>
      </c>
      <c r="BS41" s="74">
        <v>1</v>
      </c>
      <c r="BT41" s="74">
        <v>1</v>
      </c>
      <c r="BU41" s="74">
        <v>1</v>
      </c>
      <c r="BV41" s="74">
        <v>1</v>
      </c>
      <c r="BW41" s="74">
        <v>1</v>
      </c>
      <c r="BX41" s="74">
        <v>1</v>
      </c>
      <c r="BY41" s="74">
        <v>1</v>
      </c>
      <c r="BZ41" s="74">
        <v>1</v>
      </c>
      <c r="CA41" s="78">
        <v>1</v>
      </c>
      <c r="CB41" s="74">
        <v>1</v>
      </c>
      <c r="CC41" s="74">
        <v>1</v>
      </c>
      <c r="CD41" s="74">
        <v>1</v>
      </c>
      <c r="CE41" s="74">
        <v>1</v>
      </c>
      <c r="CF41" s="74">
        <v>1</v>
      </c>
      <c r="CG41" s="74">
        <v>1</v>
      </c>
      <c r="CH41" s="74">
        <v>1</v>
      </c>
      <c r="CI41" s="74">
        <v>1</v>
      </c>
      <c r="CJ41" s="74">
        <v>1</v>
      </c>
      <c r="CK41" s="74">
        <v>1</v>
      </c>
      <c r="CL41" s="74">
        <v>1</v>
      </c>
      <c r="CM41" s="74">
        <v>1</v>
      </c>
      <c r="CN41" s="74">
        <v>1</v>
      </c>
      <c r="CO41" s="74">
        <v>1</v>
      </c>
      <c r="CP41" s="74">
        <v>1</v>
      </c>
      <c r="CQ41" s="74">
        <v>1</v>
      </c>
      <c r="CR41" s="74">
        <v>1</v>
      </c>
      <c r="CS41" s="74">
        <v>1</v>
      </c>
      <c r="CT41" s="74">
        <v>1</v>
      </c>
      <c r="CU41" s="74">
        <v>1</v>
      </c>
      <c r="CV41" s="74">
        <v>1</v>
      </c>
      <c r="CW41" s="74">
        <v>1</v>
      </c>
      <c r="CX41" s="74">
        <v>1</v>
      </c>
      <c r="CY41" s="78">
        <v>1</v>
      </c>
      <c r="CZ41" s="74">
        <v>1</v>
      </c>
      <c r="DA41" s="74">
        <v>1</v>
      </c>
      <c r="DB41" s="74">
        <v>1</v>
      </c>
      <c r="DC41" s="74">
        <v>1</v>
      </c>
      <c r="DD41" s="74">
        <v>1</v>
      </c>
      <c r="DE41" s="74">
        <v>1</v>
      </c>
      <c r="DF41" s="74">
        <v>1</v>
      </c>
      <c r="DG41" s="74">
        <v>1</v>
      </c>
      <c r="DH41" s="74">
        <v>1</v>
      </c>
      <c r="DI41" s="74">
        <v>1</v>
      </c>
      <c r="DJ41" s="74">
        <v>1</v>
      </c>
      <c r="DK41" s="74">
        <v>1</v>
      </c>
      <c r="DL41" s="74">
        <v>1</v>
      </c>
      <c r="DM41" s="74">
        <v>1</v>
      </c>
      <c r="DN41" s="74">
        <v>1</v>
      </c>
      <c r="DO41" s="74">
        <v>1</v>
      </c>
      <c r="DP41" s="74">
        <v>1</v>
      </c>
      <c r="DQ41" s="74">
        <v>1</v>
      </c>
      <c r="DR41" s="74">
        <v>1</v>
      </c>
      <c r="DS41" s="74">
        <v>1</v>
      </c>
      <c r="DT41" s="74">
        <v>1</v>
      </c>
      <c r="DU41" s="74">
        <v>1</v>
      </c>
      <c r="DV41" s="74">
        <v>1</v>
      </c>
      <c r="DW41" s="78">
        <v>1</v>
      </c>
      <c r="DX41" s="74">
        <v>1</v>
      </c>
      <c r="DY41" s="74">
        <v>1</v>
      </c>
      <c r="DZ41" s="74">
        <v>1</v>
      </c>
      <c r="EA41" s="74">
        <v>1</v>
      </c>
      <c r="EB41" s="74">
        <v>1</v>
      </c>
      <c r="EC41" s="74">
        <v>1</v>
      </c>
      <c r="ED41" s="74">
        <v>1</v>
      </c>
      <c r="EE41" s="74">
        <v>1</v>
      </c>
      <c r="EF41" s="74">
        <v>1</v>
      </c>
      <c r="EG41" s="74">
        <v>1</v>
      </c>
      <c r="EH41" s="74">
        <v>1</v>
      </c>
      <c r="EI41" s="74">
        <v>1</v>
      </c>
      <c r="EJ41" s="74">
        <v>1</v>
      </c>
      <c r="EK41" s="74">
        <v>1</v>
      </c>
      <c r="EL41" s="74">
        <v>1</v>
      </c>
      <c r="EM41" s="74">
        <v>1</v>
      </c>
      <c r="EN41" s="74">
        <v>1</v>
      </c>
      <c r="EO41" s="74">
        <v>1</v>
      </c>
      <c r="EP41" s="74">
        <v>1</v>
      </c>
      <c r="EQ41" s="74">
        <v>1</v>
      </c>
      <c r="ER41" s="74">
        <v>1</v>
      </c>
      <c r="ES41" s="74">
        <v>1</v>
      </c>
      <c r="ET41" s="74">
        <v>1</v>
      </c>
      <c r="EU41" s="78">
        <v>1</v>
      </c>
      <c r="EV41" s="74">
        <v>1</v>
      </c>
      <c r="EW41" s="74">
        <v>1</v>
      </c>
      <c r="EX41" s="74">
        <v>1</v>
      </c>
      <c r="EY41" s="74">
        <v>1</v>
      </c>
      <c r="EZ41" s="74">
        <v>1</v>
      </c>
      <c r="FA41" s="74">
        <v>1</v>
      </c>
      <c r="FB41" s="74">
        <v>1</v>
      </c>
      <c r="FC41" s="74">
        <v>1</v>
      </c>
      <c r="FD41" s="74">
        <v>1</v>
      </c>
      <c r="FE41" s="74">
        <v>1</v>
      </c>
      <c r="FF41" s="74">
        <v>1</v>
      </c>
      <c r="FG41" s="74">
        <v>1</v>
      </c>
      <c r="FH41" s="74">
        <v>1</v>
      </c>
      <c r="FI41" s="74">
        <v>1</v>
      </c>
      <c r="FJ41" s="74">
        <v>1</v>
      </c>
      <c r="FK41" s="74">
        <v>1</v>
      </c>
      <c r="FL41" s="74">
        <v>1</v>
      </c>
      <c r="FM41" s="74">
        <v>1</v>
      </c>
      <c r="FN41" s="74">
        <v>1</v>
      </c>
      <c r="FO41" s="74">
        <v>1</v>
      </c>
      <c r="FP41" s="74">
        <v>1</v>
      </c>
      <c r="FQ41" s="74">
        <v>1</v>
      </c>
      <c r="FR41" s="74">
        <v>1</v>
      </c>
      <c r="FS41" s="78">
        <v>1</v>
      </c>
      <c r="FT41" s="74">
        <v>1</v>
      </c>
      <c r="FU41" s="74">
        <v>1</v>
      </c>
      <c r="FV41" s="74">
        <v>1</v>
      </c>
      <c r="FW41" s="74">
        <v>1</v>
      </c>
      <c r="FX41" s="74">
        <v>1</v>
      </c>
      <c r="FY41" s="74">
        <v>1</v>
      </c>
      <c r="FZ41" s="74">
        <v>1</v>
      </c>
      <c r="GA41" s="74">
        <v>1</v>
      </c>
      <c r="GB41" s="74">
        <v>1</v>
      </c>
      <c r="GC41" s="74">
        <v>1</v>
      </c>
      <c r="GD41" s="74">
        <v>1</v>
      </c>
      <c r="GE41" s="74">
        <v>1</v>
      </c>
      <c r="GF41" s="74">
        <v>1</v>
      </c>
      <c r="GG41" s="74">
        <v>1</v>
      </c>
      <c r="GH41" s="74">
        <v>1</v>
      </c>
      <c r="GI41" s="74">
        <v>1</v>
      </c>
      <c r="GJ41" s="74">
        <v>1</v>
      </c>
      <c r="GK41" s="74">
        <v>1</v>
      </c>
      <c r="GL41" s="74">
        <v>1</v>
      </c>
      <c r="GM41" s="74">
        <v>1</v>
      </c>
      <c r="GN41" s="74">
        <v>1</v>
      </c>
      <c r="GO41" s="74">
        <v>1</v>
      </c>
      <c r="GP41" s="74">
        <v>1</v>
      </c>
      <c r="GQ41" s="78">
        <v>1</v>
      </c>
      <c r="GR41" s="74">
        <v>1</v>
      </c>
      <c r="GS41" s="74">
        <v>1</v>
      </c>
      <c r="GT41" s="74">
        <v>1</v>
      </c>
      <c r="GU41" s="74">
        <v>1</v>
      </c>
      <c r="GV41" s="74">
        <v>1</v>
      </c>
      <c r="GW41" s="74">
        <v>1</v>
      </c>
      <c r="GX41" s="74">
        <v>1</v>
      </c>
      <c r="GY41" s="74">
        <v>1</v>
      </c>
      <c r="GZ41" s="74">
        <v>1</v>
      </c>
      <c r="HA41" s="74">
        <v>1</v>
      </c>
      <c r="HB41" s="74">
        <v>1</v>
      </c>
      <c r="HC41" s="74">
        <v>1</v>
      </c>
      <c r="HD41" s="74">
        <v>1</v>
      </c>
      <c r="HE41" s="74">
        <v>1</v>
      </c>
      <c r="HF41" s="74">
        <v>1</v>
      </c>
      <c r="HG41" s="74">
        <v>1</v>
      </c>
      <c r="HH41" s="74">
        <v>1</v>
      </c>
      <c r="HI41" s="74">
        <v>1</v>
      </c>
      <c r="HJ41" s="74">
        <v>1</v>
      </c>
      <c r="HK41" s="74">
        <v>1</v>
      </c>
      <c r="HL41" s="74">
        <v>1</v>
      </c>
      <c r="HM41" s="74">
        <v>1</v>
      </c>
      <c r="HN41" s="74">
        <v>1</v>
      </c>
      <c r="HO41" s="74">
        <v>1</v>
      </c>
      <c r="HP41" s="74">
        <v>1</v>
      </c>
      <c r="HQ41" s="74">
        <v>1</v>
      </c>
      <c r="HR41" s="74">
        <v>1</v>
      </c>
      <c r="HS41" s="74">
        <v>1</v>
      </c>
      <c r="HT41" s="74">
        <v>1</v>
      </c>
      <c r="HU41" s="74">
        <v>1</v>
      </c>
      <c r="HV41" s="74">
        <v>1</v>
      </c>
      <c r="HW41" s="74">
        <v>1</v>
      </c>
      <c r="HX41" s="75">
        <v>1</v>
      </c>
    </row>
    <row r="42" spans="1:232" x14ac:dyDescent="0.2">
      <c r="A42" s="27" t="s">
        <v>124</v>
      </c>
      <c r="B42" s="83" t="s">
        <v>88</v>
      </c>
      <c r="C42" s="80" t="s">
        <v>131</v>
      </c>
      <c r="D42" s="81">
        <v>5.2</v>
      </c>
      <c r="E42" s="80" t="s">
        <v>127</v>
      </c>
      <c r="F42" s="80" t="s">
        <v>122</v>
      </c>
      <c r="G42" s="78">
        <v>1</v>
      </c>
      <c r="H42" s="74">
        <v>1</v>
      </c>
      <c r="I42" s="74">
        <v>1</v>
      </c>
      <c r="J42" s="74">
        <v>1</v>
      </c>
      <c r="K42" s="74">
        <v>1</v>
      </c>
      <c r="L42" s="74">
        <v>1</v>
      </c>
      <c r="M42" s="74">
        <v>1</v>
      </c>
      <c r="N42" s="74">
        <v>1</v>
      </c>
      <c r="O42" s="74">
        <v>1</v>
      </c>
      <c r="P42" s="74">
        <v>1</v>
      </c>
      <c r="Q42" s="74">
        <v>1</v>
      </c>
      <c r="R42" s="74">
        <v>1</v>
      </c>
      <c r="S42" s="74">
        <v>1</v>
      </c>
      <c r="T42" s="74">
        <v>1</v>
      </c>
      <c r="U42" s="74">
        <v>1</v>
      </c>
      <c r="V42" s="74">
        <v>1</v>
      </c>
      <c r="W42" s="74">
        <v>1</v>
      </c>
      <c r="X42" s="74">
        <v>1</v>
      </c>
      <c r="Y42" s="74">
        <v>1</v>
      </c>
      <c r="Z42" s="74">
        <v>1</v>
      </c>
      <c r="AA42" s="74">
        <v>1</v>
      </c>
      <c r="AB42" s="74">
        <v>1</v>
      </c>
      <c r="AC42" s="74">
        <v>1</v>
      </c>
      <c r="AD42" s="74">
        <v>1</v>
      </c>
      <c r="AE42" s="78">
        <v>1</v>
      </c>
      <c r="AF42" s="74">
        <v>1</v>
      </c>
      <c r="AG42" s="74">
        <v>1</v>
      </c>
      <c r="AH42" s="74">
        <v>1</v>
      </c>
      <c r="AI42" s="74">
        <v>1</v>
      </c>
      <c r="AJ42" s="74">
        <v>1</v>
      </c>
      <c r="AK42" s="74">
        <v>1</v>
      </c>
      <c r="AL42" s="74">
        <v>1</v>
      </c>
      <c r="AM42" s="74">
        <v>1</v>
      </c>
      <c r="AN42" s="74">
        <v>1</v>
      </c>
      <c r="AO42" s="74">
        <v>1</v>
      </c>
      <c r="AP42" s="74">
        <v>1</v>
      </c>
      <c r="AQ42" s="74">
        <v>1</v>
      </c>
      <c r="AR42" s="74">
        <v>1</v>
      </c>
      <c r="AS42" s="74">
        <v>1</v>
      </c>
      <c r="AT42" s="74">
        <v>1</v>
      </c>
      <c r="AU42" s="74">
        <v>1</v>
      </c>
      <c r="AV42" s="74">
        <v>1</v>
      </c>
      <c r="AW42" s="74">
        <v>1</v>
      </c>
      <c r="AX42" s="74">
        <v>1</v>
      </c>
      <c r="AY42" s="74">
        <v>1</v>
      </c>
      <c r="AZ42" s="74">
        <v>1</v>
      </c>
      <c r="BA42" s="74">
        <v>1</v>
      </c>
      <c r="BB42" s="74">
        <v>1</v>
      </c>
      <c r="BC42" s="78">
        <v>1</v>
      </c>
      <c r="BD42" s="74">
        <v>1</v>
      </c>
      <c r="BE42" s="74">
        <v>1</v>
      </c>
      <c r="BF42" s="74">
        <v>1</v>
      </c>
      <c r="BG42" s="74">
        <v>1</v>
      </c>
      <c r="BH42" s="74">
        <v>1</v>
      </c>
      <c r="BI42" s="74">
        <v>1</v>
      </c>
      <c r="BJ42" s="74">
        <v>1</v>
      </c>
      <c r="BK42" s="74">
        <v>1</v>
      </c>
      <c r="BL42" s="74">
        <v>1</v>
      </c>
      <c r="BM42" s="74">
        <v>1</v>
      </c>
      <c r="BN42" s="74">
        <v>1</v>
      </c>
      <c r="BO42" s="74">
        <v>1</v>
      </c>
      <c r="BP42" s="74">
        <v>1</v>
      </c>
      <c r="BQ42" s="74">
        <v>1</v>
      </c>
      <c r="BR42" s="74">
        <v>1</v>
      </c>
      <c r="BS42" s="74">
        <v>1</v>
      </c>
      <c r="BT42" s="74">
        <v>1</v>
      </c>
      <c r="BU42" s="74">
        <v>1</v>
      </c>
      <c r="BV42" s="74">
        <v>1</v>
      </c>
      <c r="BW42" s="74">
        <v>1</v>
      </c>
      <c r="BX42" s="74">
        <v>1</v>
      </c>
      <c r="BY42" s="74">
        <v>1</v>
      </c>
      <c r="BZ42" s="74">
        <v>1</v>
      </c>
      <c r="CA42" s="78">
        <v>1</v>
      </c>
      <c r="CB42" s="74">
        <v>1</v>
      </c>
      <c r="CC42" s="74">
        <v>1</v>
      </c>
      <c r="CD42" s="74">
        <v>1</v>
      </c>
      <c r="CE42" s="74">
        <v>1</v>
      </c>
      <c r="CF42" s="74">
        <v>1</v>
      </c>
      <c r="CG42" s="74">
        <v>1</v>
      </c>
      <c r="CH42" s="74">
        <v>1</v>
      </c>
      <c r="CI42" s="74">
        <v>1</v>
      </c>
      <c r="CJ42" s="74">
        <v>1</v>
      </c>
      <c r="CK42" s="74">
        <v>1</v>
      </c>
      <c r="CL42" s="74">
        <v>1</v>
      </c>
      <c r="CM42" s="74">
        <v>1</v>
      </c>
      <c r="CN42" s="74">
        <v>1</v>
      </c>
      <c r="CO42" s="74">
        <v>1</v>
      </c>
      <c r="CP42" s="74">
        <v>1</v>
      </c>
      <c r="CQ42" s="74">
        <v>1</v>
      </c>
      <c r="CR42" s="74">
        <v>1</v>
      </c>
      <c r="CS42" s="74">
        <v>1</v>
      </c>
      <c r="CT42" s="74">
        <v>1</v>
      </c>
      <c r="CU42" s="74">
        <v>1</v>
      </c>
      <c r="CV42" s="74">
        <v>1</v>
      </c>
      <c r="CW42" s="74">
        <v>1</v>
      </c>
      <c r="CX42" s="74">
        <v>1</v>
      </c>
      <c r="CY42" s="78">
        <v>1</v>
      </c>
      <c r="CZ42" s="74">
        <v>1</v>
      </c>
      <c r="DA42" s="74">
        <v>1</v>
      </c>
      <c r="DB42" s="74">
        <v>1</v>
      </c>
      <c r="DC42" s="74">
        <v>1</v>
      </c>
      <c r="DD42" s="74">
        <v>1</v>
      </c>
      <c r="DE42" s="74">
        <v>1</v>
      </c>
      <c r="DF42" s="74">
        <v>1</v>
      </c>
      <c r="DG42" s="74">
        <v>1</v>
      </c>
      <c r="DH42" s="74">
        <v>1</v>
      </c>
      <c r="DI42" s="74">
        <v>1</v>
      </c>
      <c r="DJ42" s="74">
        <v>1</v>
      </c>
      <c r="DK42" s="74">
        <v>1</v>
      </c>
      <c r="DL42" s="74">
        <v>1</v>
      </c>
      <c r="DM42" s="74">
        <v>1</v>
      </c>
      <c r="DN42" s="74">
        <v>1</v>
      </c>
      <c r="DO42" s="74">
        <v>1</v>
      </c>
      <c r="DP42" s="74">
        <v>1</v>
      </c>
      <c r="DQ42" s="74">
        <v>1</v>
      </c>
      <c r="DR42" s="74">
        <v>1</v>
      </c>
      <c r="DS42" s="74">
        <v>1</v>
      </c>
      <c r="DT42" s="74">
        <v>1</v>
      </c>
      <c r="DU42" s="74">
        <v>1</v>
      </c>
      <c r="DV42" s="74">
        <v>1</v>
      </c>
      <c r="DW42" s="78">
        <v>1</v>
      </c>
      <c r="DX42" s="74">
        <v>1</v>
      </c>
      <c r="DY42" s="74">
        <v>1</v>
      </c>
      <c r="DZ42" s="74">
        <v>1</v>
      </c>
      <c r="EA42" s="74">
        <v>1</v>
      </c>
      <c r="EB42" s="74">
        <v>1</v>
      </c>
      <c r="EC42" s="74">
        <v>1</v>
      </c>
      <c r="ED42" s="74">
        <v>1</v>
      </c>
      <c r="EE42" s="74">
        <v>1</v>
      </c>
      <c r="EF42" s="74">
        <v>1</v>
      </c>
      <c r="EG42" s="74">
        <v>1</v>
      </c>
      <c r="EH42" s="74">
        <v>1</v>
      </c>
      <c r="EI42" s="74">
        <v>1</v>
      </c>
      <c r="EJ42" s="74">
        <v>1</v>
      </c>
      <c r="EK42" s="74">
        <v>1</v>
      </c>
      <c r="EL42" s="74">
        <v>1</v>
      </c>
      <c r="EM42" s="74">
        <v>1</v>
      </c>
      <c r="EN42" s="74">
        <v>1</v>
      </c>
      <c r="EO42" s="74">
        <v>1</v>
      </c>
      <c r="EP42" s="74">
        <v>1</v>
      </c>
      <c r="EQ42" s="74">
        <v>1</v>
      </c>
      <c r="ER42" s="74">
        <v>1</v>
      </c>
      <c r="ES42" s="74">
        <v>1</v>
      </c>
      <c r="ET42" s="74">
        <v>1</v>
      </c>
      <c r="EU42" s="78">
        <v>1</v>
      </c>
      <c r="EV42" s="74">
        <v>1</v>
      </c>
      <c r="EW42" s="74">
        <v>1</v>
      </c>
      <c r="EX42" s="74">
        <v>1</v>
      </c>
      <c r="EY42" s="74">
        <v>1</v>
      </c>
      <c r="EZ42" s="74">
        <v>1</v>
      </c>
      <c r="FA42" s="74">
        <v>1</v>
      </c>
      <c r="FB42" s="74">
        <v>1</v>
      </c>
      <c r="FC42" s="74">
        <v>1</v>
      </c>
      <c r="FD42" s="74">
        <v>1</v>
      </c>
      <c r="FE42" s="74">
        <v>1</v>
      </c>
      <c r="FF42" s="74">
        <v>1</v>
      </c>
      <c r="FG42" s="74">
        <v>1</v>
      </c>
      <c r="FH42" s="74">
        <v>1</v>
      </c>
      <c r="FI42" s="74">
        <v>1</v>
      </c>
      <c r="FJ42" s="74">
        <v>1</v>
      </c>
      <c r="FK42" s="74">
        <v>1</v>
      </c>
      <c r="FL42" s="74">
        <v>1</v>
      </c>
      <c r="FM42" s="74">
        <v>1</v>
      </c>
      <c r="FN42" s="74">
        <v>1</v>
      </c>
      <c r="FO42" s="74">
        <v>1</v>
      </c>
      <c r="FP42" s="74">
        <v>1</v>
      </c>
      <c r="FQ42" s="74">
        <v>1</v>
      </c>
      <c r="FR42" s="74">
        <v>1</v>
      </c>
      <c r="FS42" s="78">
        <v>1</v>
      </c>
      <c r="FT42" s="74">
        <v>1</v>
      </c>
      <c r="FU42" s="74">
        <v>1</v>
      </c>
      <c r="FV42" s="74">
        <v>1</v>
      </c>
      <c r="FW42" s="74">
        <v>1</v>
      </c>
      <c r="FX42" s="74">
        <v>1</v>
      </c>
      <c r="FY42" s="74">
        <v>1</v>
      </c>
      <c r="FZ42" s="74">
        <v>1</v>
      </c>
      <c r="GA42" s="74">
        <v>1</v>
      </c>
      <c r="GB42" s="74">
        <v>1</v>
      </c>
      <c r="GC42" s="74">
        <v>1</v>
      </c>
      <c r="GD42" s="74">
        <v>1</v>
      </c>
      <c r="GE42" s="74">
        <v>1</v>
      </c>
      <c r="GF42" s="74">
        <v>1</v>
      </c>
      <c r="GG42" s="74">
        <v>1</v>
      </c>
      <c r="GH42" s="74">
        <v>1</v>
      </c>
      <c r="GI42" s="74">
        <v>1</v>
      </c>
      <c r="GJ42" s="74">
        <v>1</v>
      </c>
      <c r="GK42" s="74">
        <v>1</v>
      </c>
      <c r="GL42" s="74">
        <v>1</v>
      </c>
      <c r="GM42" s="74">
        <v>1</v>
      </c>
      <c r="GN42" s="74">
        <v>1</v>
      </c>
      <c r="GO42" s="74">
        <v>1</v>
      </c>
      <c r="GP42" s="74">
        <v>1</v>
      </c>
      <c r="GQ42" s="78">
        <v>1</v>
      </c>
      <c r="GR42" s="74">
        <v>1</v>
      </c>
      <c r="GS42" s="74">
        <v>1</v>
      </c>
      <c r="GT42" s="74">
        <v>1</v>
      </c>
      <c r="GU42" s="74">
        <v>1</v>
      </c>
      <c r="GV42" s="74">
        <v>1</v>
      </c>
      <c r="GW42" s="74">
        <v>1</v>
      </c>
      <c r="GX42" s="74">
        <v>1</v>
      </c>
      <c r="GY42" s="74">
        <v>1</v>
      </c>
      <c r="GZ42" s="74">
        <v>1</v>
      </c>
      <c r="HA42" s="74">
        <v>1</v>
      </c>
      <c r="HB42" s="74">
        <v>1</v>
      </c>
      <c r="HC42" s="74">
        <v>1</v>
      </c>
      <c r="HD42" s="74">
        <v>1</v>
      </c>
      <c r="HE42" s="74">
        <v>1</v>
      </c>
      <c r="HF42" s="74">
        <v>1</v>
      </c>
      <c r="HG42" s="74">
        <v>1</v>
      </c>
      <c r="HH42" s="74">
        <v>1</v>
      </c>
      <c r="HI42" s="74">
        <v>1</v>
      </c>
      <c r="HJ42" s="74">
        <v>1</v>
      </c>
      <c r="HK42" s="74">
        <v>1</v>
      </c>
      <c r="HL42" s="74">
        <v>1</v>
      </c>
      <c r="HM42" s="74">
        <v>1</v>
      </c>
      <c r="HN42" s="74">
        <v>1</v>
      </c>
      <c r="HO42" s="74">
        <v>1</v>
      </c>
      <c r="HP42" s="74">
        <v>1</v>
      </c>
      <c r="HQ42" s="74">
        <v>1</v>
      </c>
      <c r="HR42" s="74">
        <v>1</v>
      </c>
      <c r="HS42" s="74">
        <v>1</v>
      </c>
      <c r="HT42" s="74">
        <v>1</v>
      </c>
      <c r="HU42" s="74">
        <v>1</v>
      </c>
      <c r="HV42" s="74">
        <v>1</v>
      </c>
      <c r="HW42" s="74">
        <v>1</v>
      </c>
      <c r="HX42" s="75">
        <v>1</v>
      </c>
    </row>
    <row r="43" spans="1:232" x14ac:dyDescent="0.2">
      <c r="B43" s="83" t="s">
        <v>89</v>
      </c>
      <c r="C43" s="80" t="s">
        <v>131</v>
      </c>
      <c r="D43" s="81">
        <v>5.2</v>
      </c>
      <c r="E43" s="80" t="s">
        <v>127</v>
      </c>
      <c r="F43" s="80" t="s">
        <v>122</v>
      </c>
      <c r="G43" s="78">
        <v>1</v>
      </c>
      <c r="H43" s="74">
        <v>1</v>
      </c>
      <c r="I43" s="74">
        <v>1</v>
      </c>
      <c r="J43" s="74">
        <v>1</v>
      </c>
      <c r="K43" s="74">
        <v>1</v>
      </c>
      <c r="L43" s="74">
        <v>1</v>
      </c>
      <c r="M43" s="74">
        <v>1</v>
      </c>
      <c r="N43" s="74">
        <v>1</v>
      </c>
      <c r="O43" s="74">
        <v>1</v>
      </c>
      <c r="P43" s="74">
        <v>1</v>
      </c>
      <c r="Q43" s="74">
        <v>1</v>
      </c>
      <c r="R43" s="74">
        <v>1</v>
      </c>
      <c r="S43" s="74">
        <v>1</v>
      </c>
      <c r="T43" s="74">
        <v>1</v>
      </c>
      <c r="U43" s="74">
        <v>1</v>
      </c>
      <c r="V43" s="74">
        <v>1</v>
      </c>
      <c r="W43" s="74">
        <v>1</v>
      </c>
      <c r="X43" s="74">
        <v>1</v>
      </c>
      <c r="Y43" s="74">
        <v>1</v>
      </c>
      <c r="Z43" s="74">
        <v>1</v>
      </c>
      <c r="AA43" s="74">
        <v>1</v>
      </c>
      <c r="AB43" s="74">
        <v>1</v>
      </c>
      <c r="AC43" s="74">
        <v>1</v>
      </c>
      <c r="AD43" s="74">
        <v>1</v>
      </c>
      <c r="AE43" s="78">
        <v>1</v>
      </c>
      <c r="AF43" s="74">
        <v>1</v>
      </c>
      <c r="AG43" s="74">
        <v>1</v>
      </c>
      <c r="AH43" s="74">
        <v>1</v>
      </c>
      <c r="AI43" s="74">
        <v>1</v>
      </c>
      <c r="AJ43" s="74">
        <v>1</v>
      </c>
      <c r="AK43" s="74">
        <v>1</v>
      </c>
      <c r="AL43" s="74">
        <v>1</v>
      </c>
      <c r="AM43" s="74">
        <v>1</v>
      </c>
      <c r="AN43" s="74">
        <v>1</v>
      </c>
      <c r="AO43" s="74">
        <v>1</v>
      </c>
      <c r="AP43" s="74">
        <v>1</v>
      </c>
      <c r="AQ43" s="74">
        <v>1</v>
      </c>
      <c r="AR43" s="74">
        <v>1</v>
      </c>
      <c r="AS43" s="74">
        <v>1</v>
      </c>
      <c r="AT43" s="74">
        <v>1</v>
      </c>
      <c r="AU43" s="74">
        <v>1</v>
      </c>
      <c r="AV43" s="74">
        <v>1</v>
      </c>
      <c r="AW43" s="74">
        <v>1</v>
      </c>
      <c r="AX43" s="74">
        <v>1</v>
      </c>
      <c r="AY43" s="74">
        <v>1</v>
      </c>
      <c r="AZ43" s="74">
        <v>1</v>
      </c>
      <c r="BA43" s="74">
        <v>1</v>
      </c>
      <c r="BB43" s="74">
        <v>1</v>
      </c>
      <c r="BC43" s="78">
        <v>1</v>
      </c>
      <c r="BD43" s="74">
        <v>1</v>
      </c>
      <c r="BE43" s="74">
        <v>1</v>
      </c>
      <c r="BF43" s="74">
        <v>1</v>
      </c>
      <c r="BG43" s="74">
        <v>1</v>
      </c>
      <c r="BH43" s="74">
        <v>1</v>
      </c>
      <c r="BI43" s="74">
        <v>1</v>
      </c>
      <c r="BJ43" s="74">
        <v>1</v>
      </c>
      <c r="BK43" s="74">
        <v>1</v>
      </c>
      <c r="BL43" s="74">
        <v>1</v>
      </c>
      <c r="BM43" s="74">
        <v>1</v>
      </c>
      <c r="BN43" s="74">
        <v>1</v>
      </c>
      <c r="BO43" s="74">
        <v>1</v>
      </c>
      <c r="BP43" s="74">
        <v>1</v>
      </c>
      <c r="BQ43" s="74">
        <v>1</v>
      </c>
      <c r="BR43" s="74">
        <v>1</v>
      </c>
      <c r="BS43" s="74">
        <v>1</v>
      </c>
      <c r="BT43" s="74">
        <v>1</v>
      </c>
      <c r="BU43" s="74">
        <v>1</v>
      </c>
      <c r="BV43" s="74">
        <v>1</v>
      </c>
      <c r="BW43" s="74">
        <v>1</v>
      </c>
      <c r="BX43" s="74">
        <v>1</v>
      </c>
      <c r="BY43" s="74">
        <v>1</v>
      </c>
      <c r="BZ43" s="74">
        <v>1</v>
      </c>
      <c r="CA43" s="78">
        <v>1</v>
      </c>
      <c r="CB43" s="74">
        <v>1</v>
      </c>
      <c r="CC43" s="74">
        <v>1</v>
      </c>
      <c r="CD43" s="74">
        <v>1</v>
      </c>
      <c r="CE43" s="74">
        <v>1</v>
      </c>
      <c r="CF43" s="74">
        <v>1</v>
      </c>
      <c r="CG43" s="74">
        <v>1</v>
      </c>
      <c r="CH43" s="74">
        <v>1</v>
      </c>
      <c r="CI43" s="74">
        <v>1</v>
      </c>
      <c r="CJ43" s="74">
        <v>1</v>
      </c>
      <c r="CK43" s="74">
        <v>1</v>
      </c>
      <c r="CL43" s="74">
        <v>1</v>
      </c>
      <c r="CM43" s="74">
        <v>1</v>
      </c>
      <c r="CN43" s="74">
        <v>1</v>
      </c>
      <c r="CO43" s="74">
        <v>1</v>
      </c>
      <c r="CP43" s="74">
        <v>1</v>
      </c>
      <c r="CQ43" s="74">
        <v>1</v>
      </c>
      <c r="CR43" s="74">
        <v>1</v>
      </c>
      <c r="CS43" s="74">
        <v>1</v>
      </c>
      <c r="CT43" s="74">
        <v>1</v>
      </c>
      <c r="CU43" s="74">
        <v>1</v>
      </c>
      <c r="CV43" s="74">
        <v>1</v>
      </c>
      <c r="CW43" s="74">
        <v>1</v>
      </c>
      <c r="CX43" s="74">
        <v>1</v>
      </c>
      <c r="CY43" s="78">
        <v>1</v>
      </c>
      <c r="CZ43" s="74">
        <v>1</v>
      </c>
      <c r="DA43" s="74">
        <v>1</v>
      </c>
      <c r="DB43" s="74">
        <v>1</v>
      </c>
      <c r="DC43" s="74">
        <v>1</v>
      </c>
      <c r="DD43" s="74">
        <v>1</v>
      </c>
      <c r="DE43" s="74">
        <v>1</v>
      </c>
      <c r="DF43" s="74">
        <v>1</v>
      </c>
      <c r="DG43" s="74">
        <v>1</v>
      </c>
      <c r="DH43" s="74">
        <v>1</v>
      </c>
      <c r="DI43" s="74">
        <v>1</v>
      </c>
      <c r="DJ43" s="74">
        <v>1</v>
      </c>
      <c r="DK43" s="74">
        <v>1</v>
      </c>
      <c r="DL43" s="74">
        <v>1</v>
      </c>
      <c r="DM43" s="74">
        <v>1</v>
      </c>
      <c r="DN43" s="74">
        <v>1</v>
      </c>
      <c r="DO43" s="74">
        <v>1</v>
      </c>
      <c r="DP43" s="74">
        <v>1</v>
      </c>
      <c r="DQ43" s="74">
        <v>1</v>
      </c>
      <c r="DR43" s="74">
        <v>1</v>
      </c>
      <c r="DS43" s="74">
        <v>1</v>
      </c>
      <c r="DT43" s="74">
        <v>1</v>
      </c>
      <c r="DU43" s="74">
        <v>1</v>
      </c>
      <c r="DV43" s="74">
        <v>1</v>
      </c>
      <c r="DW43" s="78">
        <v>1</v>
      </c>
      <c r="DX43" s="74">
        <v>1</v>
      </c>
      <c r="DY43" s="74">
        <v>1</v>
      </c>
      <c r="DZ43" s="74">
        <v>1</v>
      </c>
      <c r="EA43" s="74">
        <v>1</v>
      </c>
      <c r="EB43" s="74">
        <v>1</v>
      </c>
      <c r="EC43" s="74">
        <v>1</v>
      </c>
      <c r="ED43" s="74">
        <v>1</v>
      </c>
      <c r="EE43" s="74">
        <v>1</v>
      </c>
      <c r="EF43" s="74">
        <v>1</v>
      </c>
      <c r="EG43" s="74">
        <v>1</v>
      </c>
      <c r="EH43" s="74">
        <v>1</v>
      </c>
      <c r="EI43" s="74">
        <v>1</v>
      </c>
      <c r="EJ43" s="74">
        <v>1</v>
      </c>
      <c r="EK43" s="74">
        <v>1</v>
      </c>
      <c r="EL43" s="74">
        <v>1</v>
      </c>
      <c r="EM43" s="74">
        <v>1</v>
      </c>
      <c r="EN43" s="74">
        <v>1</v>
      </c>
      <c r="EO43" s="74">
        <v>1</v>
      </c>
      <c r="EP43" s="74">
        <v>1</v>
      </c>
      <c r="EQ43" s="74">
        <v>1</v>
      </c>
      <c r="ER43" s="74">
        <v>1</v>
      </c>
      <c r="ES43" s="74">
        <v>1</v>
      </c>
      <c r="ET43" s="74">
        <v>1</v>
      </c>
      <c r="EU43" s="78">
        <v>1</v>
      </c>
      <c r="EV43" s="74">
        <v>1</v>
      </c>
      <c r="EW43" s="74">
        <v>1</v>
      </c>
      <c r="EX43" s="74">
        <v>1</v>
      </c>
      <c r="EY43" s="74">
        <v>1</v>
      </c>
      <c r="EZ43" s="74">
        <v>1</v>
      </c>
      <c r="FA43" s="74">
        <v>1</v>
      </c>
      <c r="FB43" s="74">
        <v>1</v>
      </c>
      <c r="FC43" s="74">
        <v>1</v>
      </c>
      <c r="FD43" s="74">
        <v>1</v>
      </c>
      <c r="FE43" s="74">
        <v>1</v>
      </c>
      <c r="FF43" s="74">
        <v>1</v>
      </c>
      <c r="FG43" s="74">
        <v>1</v>
      </c>
      <c r="FH43" s="74">
        <v>1</v>
      </c>
      <c r="FI43" s="74">
        <v>1</v>
      </c>
      <c r="FJ43" s="74">
        <v>1</v>
      </c>
      <c r="FK43" s="74">
        <v>1</v>
      </c>
      <c r="FL43" s="74">
        <v>1</v>
      </c>
      <c r="FM43" s="74">
        <v>1</v>
      </c>
      <c r="FN43" s="74">
        <v>1</v>
      </c>
      <c r="FO43" s="74">
        <v>1</v>
      </c>
      <c r="FP43" s="74">
        <v>1</v>
      </c>
      <c r="FQ43" s="74">
        <v>1</v>
      </c>
      <c r="FR43" s="74">
        <v>1</v>
      </c>
      <c r="FS43" s="78">
        <v>1</v>
      </c>
      <c r="FT43" s="74">
        <v>1</v>
      </c>
      <c r="FU43" s="74">
        <v>1</v>
      </c>
      <c r="FV43" s="74">
        <v>1</v>
      </c>
      <c r="FW43" s="74">
        <v>1</v>
      </c>
      <c r="FX43" s="74">
        <v>1</v>
      </c>
      <c r="FY43" s="74">
        <v>1</v>
      </c>
      <c r="FZ43" s="74">
        <v>1</v>
      </c>
      <c r="GA43" s="74">
        <v>1</v>
      </c>
      <c r="GB43" s="74">
        <v>1</v>
      </c>
      <c r="GC43" s="74">
        <v>1</v>
      </c>
      <c r="GD43" s="74">
        <v>1</v>
      </c>
      <c r="GE43" s="74">
        <v>1</v>
      </c>
      <c r="GF43" s="74">
        <v>1</v>
      </c>
      <c r="GG43" s="74">
        <v>1</v>
      </c>
      <c r="GH43" s="74">
        <v>1</v>
      </c>
      <c r="GI43" s="74">
        <v>1</v>
      </c>
      <c r="GJ43" s="74">
        <v>1</v>
      </c>
      <c r="GK43" s="74">
        <v>1</v>
      </c>
      <c r="GL43" s="74">
        <v>1</v>
      </c>
      <c r="GM43" s="74">
        <v>1</v>
      </c>
      <c r="GN43" s="74">
        <v>1</v>
      </c>
      <c r="GO43" s="74">
        <v>1</v>
      </c>
      <c r="GP43" s="74">
        <v>1</v>
      </c>
      <c r="GQ43" s="78">
        <v>1</v>
      </c>
      <c r="GR43" s="74">
        <v>1</v>
      </c>
      <c r="GS43" s="74">
        <v>1</v>
      </c>
      <c r="GT43" s="74">
        <v>1</v>
      </c>
      <c r="GU43" s="74">
        <v>1</v>
      </c>
      <c r="GV43" s="74">
        <v>1</v>
      </c>
      <c r="GW43" s="74">
        <v>1</v>
      </c>
      <c r="GX43" s="74">
        <v>1</v>
      </c>
      <c r="GY43" s="74">
        <v>1</v>
      </c>
      <c r="GZ43" s="74">
        <v>1</v>
      </c>
      <c r="HA43" s="74">
        <v>1</v>
      </c>
      <c r="HB43" s="74">
        <v>1</v>
      </c>
      <c r="HC43" s="74">
        <v>1</v>
      </c>
      <c r="HD43" s="74">
        <v>1</v>
      </c>
      <c r="HE43" s="74">
        <v>1</v>
      </c>
      <c r="HF43" s="74">
        <v>1</v>
      </c>
      <c r="HG43" s="74">
        <v>1</v>
      </c>
      <c r="HH43" s="74">
        <v>1</v>
      </c>
      <c r="HI43" s="74">
        <v>1</v>
      </c>
      <c r="HJ43" s="74">
        <v>1</v>
      </c>
      <c r="HK43" s="74">
        <v>1</v>
      </c>
      <c r="HL43" s="74">
        <v>1</v>
      </c>
      <c r="HM43" s="74">
        <v>1</v>
      </c>
      <c r="HN43" s="74">
        <v>1</v>
      </c>
      <c r="HO43" s="74">
        <v>1</v>
      </c>
      <c r="HP43" s="74">
        <v>1</v>
      </c>
      <c r="HQ43" s="74">
        <v>1</v>
      </c>
      <c r="HR43" s="74">
        <v>1</v>
      </c>
      <c r="HS43" s="74">
        <v>1</v>
      </c>
      <c r="HT43" s="74">
        <v>1</v>
      </c>
      <c r="HU43" s="74">
        <v>1</v>
      </c>
      <c r="HV43" s="74">
        <v>1</v>
      </c>
      <c r="HW43" s="74">
        <v>1</v>
      </c>
      <c r="HX43" s="75">
        <v>1</v>
      </c>
    </row>
    <row r="44" spans="1:232" x14ac:dyDescent="0.2">
      <c r="A44" s="27" t="s">
        <v>122</v>
      </c>
      <c r="B44" s="82" t="s">
        <v>90</v>
      </c>
      <c r="C44" s="80" t="s">
        <v>131</v>
      </c>
      <c r="D44" s="81">
        <v>5.2</v>
      </c>
      <c r="E44" s="80" t="s">
        <v>127</v>
      </c>
      <c r="F44" s="80" t="s">
        <v>123</v>
      </c>
      <c r="G44" s="78">
        <v>0</v>
      </c>
      <c r="H44" s="74">
        <v>0</v>
      </c>
      <c r="I44" s="74">
        <v>0</v>
      </c>
      <c r="J44" s="74">
        <v>0</v>
      </c>
      <c r="K44" s="74">
        <v>0</v>
      </c>
      <c r="L44" s="74">
        <v>0</v>
      </c>
      <c r="M44" s="74">
        <v>0</v>
      </c>
      <c r="N44" s="74">
        <v>0</v>
      </c>
      <c r="O44" s="74">
        <v>0</v>
      </c>
      <c r="P44" s="74">
        <v>0</v>
      </c>
      <c r="Q44" s="74">
        <v>0</v>
      </c>
      <c r="R44" s="74">
        <v>0</v>
      </c>
      <c r="S44" s="74">
        <v>0</v>
      </c>
      <c r="T44" s="74">
        <v>0</v>
      </c>
      <c r="U44" s="74">
        <v>0</v>
      </c>
      <c r="V44" s="74">
        <v>0</v>
      </c>
      <c r="W44" s="74">
        <v>0</v>
      </c>
      <c r="X44" s="74">
        <v>0</v>
      </c>
      <c r="Y44" s="74">
        <v>0</v>
      </c>
      <c r="Z44" s="74">
        <v>0</v>
      </c>
      <c r="AA44" s="74">
        <v>0</v>
      </c>
      <c r="AB44" s="74">
        <v>0</v>
      </c>
      <c r="AC44" s="74">
        <v>0</v>
      </c>
      <c r="AD44" s="74">
        <v>0</v>
      </c>
      <c r="AE44" s="78">
        <v>0</v>
      </c>
      <c r="AF44" s="74">
        <v>0</v>
      </c>
      <c r="AG44" s="74">
        <v>0</v>
      </c>
      <c r="AH44" s="74">
        <v>0</v>
      </c>
      <c r="AI44" s="74">
        <v>0</v>
      </c>
      <c r="AJ44" s="74">
        <v>0</v>
      </c>
      <c r="AK44" s="74">
        <v>0</v>
      </c>
      <c r="AL44" s="74">
        <v>0</v>
      </c>
      <c r="AM44" s="74">
        <v>0</v>
      </c>
      <c r="AN44" s="74">
        <v>0</v>
      </c>
      <c r="AO44" s="74">
        <v>0</v>
      </c>
      <c r="AP44" s="74">
        <v>0</v>
      </c>
      <c r="AQ44" s="74">
        <v>0</v>
      </c>
      <c r="AR44" s="74">
        <v>0</v>
      </c>
      <c r="AS44" s="74">
        <v>0</v>
      </c>
      <c r="AT44" s="74">
        <v>0</v>
      </c>
      <c r="AU44" s="74">
        <v>0</v>
      </c>
      <c r="AV44" s="74">
        <v>0</v>
      </c>
      <c r="AW44" s="74">
        <v>0</v>
      </c>
      <c r="AX44" s="74">
        <v>0</v>
      </c>
      <c r="AY44" s="74">
        <v>0</v>
      </c>
      <c r="AZ44" s="74">
        <v>0</v>
      </c>
      <c r="BA44" s="74">
        <v>1</v>
      </c>
      <c r="BB44" s="74">
        <v>1</v>
      </c>
      <c r="BC44" s="78">
        <v>1</v>
      </c>
      <c r="BD44" s="74">
        <v>1</v>
      </c>
      <c r="BE44" s="74">
        <v>1</v>
      </c>
      <c r="BF44" s="74">
        <v>1</v>
      </c>
      <c r="BG44" s="74">
        <v>1</v>
      </c>
      <c r="BH44" s="74">
        <v>1</v>
      </c>
      <c r="BI44" s="74">
        <v>1</v>
      </c>
      <c r="BJ44" s="74">
        <v>1</v>
      </c>
      <c r="BK44" s="74">
        <v>1</v>
      </c>
      <c r="BL44" s="74">
        <v>1</v>
      </c>
      <c r="BM44" s="74">
        <v>1</v>
      </c>
      <c r="BN44" s="74">
        <v>1</v>
      </c>
      <c r="BO44" s="74">
        <v>1</v>
      </c>
      <c r="BP44" s="74">
        <v>1</v>
      </c>
      <c r="BQ44" s="74">
        <v>1</v>
      </c>
      <c r="BR44" s="74">
        <v>1</v>
      </c>
      <c r="BS44" s="74">
        <v>1</v>
      </c>
      <c r="BT44" s="74">
        <v>1</v>
      </c>
      <c r="BU44" s="74">
        <v>1</v>
      </c>
      <c r="BV44" s="74">
        <v>1</v>
      </c>
      <c r="BW44" s="74">
        <v>1</v>
      </c>
      <c r="BX44" s="74">
        <v>1</v>
      </c>
      <c r="BY44" s="74">
        <v>1</v>
      </c>
      <c r="BZ44" s="74">
        <v>1</v>
      </c>
      <c r="CA44" s="78">
        <v>1</v>
      </c>
      <c r="CB44" s="74">
        <v>1</v>
      </c>
      <c r="CC44" s="74">
        <v>1</v>
      </c>
      <c r="CD44" s="74">
        <v>1</v>
      </c>
      <c r="CE44" s="74">
        <v>1</v>
      </c>
      <c r="CF44" s="74">
        <v>1</v>
      </c>
      <c r="CG44" s="74">
        <v>1</v>
      </c>
      <c r="CH44" s="74">
        <v>1</v>
      </c>
      <c r="CI44" s="74">
        <v>1</v>
      </c>
      <c r="CJ44" s="74">
        <v>1</v>
      </c>
      <c r="CK44" s="74">
        <v>1</v>
      </c>
      <c r="CL44" s="74">
        <v>1</v>
      </c>
      <c r="CM44" s="74">
        <v>1</v>
      </c>
      <c r="CN44" s="74">
        <v>1</v>
      </c>
      <c r="CO44" s="74">
        <v>1</v>
      </c>
      <c r="CP44" s="74">
        <v>1</v>
      </c>
      <c r="CQ44" s="74">
        <v>1</v>
      </c>
      <c r="CR44" s="74">
        <v>1</v>
      </c>
      <c r="CS44" s="74">
        <v>1</v>
      </c>
      <c r="CT44" s="74">
        <v>1</v>
      </c>
      <c r="CU44" s="74">
        <v>1</v>
      </c>
      <c r="CV44" s="74">
        <v>1</v>
      </c>
      <c r="CW44" s="74">
        <v>1</v>
      </c>
      <c r="CX44" s="74">
        <v>1</v>
      </c>
      <c r="CY44" s="78">
        <v>1</v>
      </c>
      <c r="CZ44" s="74">
        <v>1</v>
      </c>
      <c r="DA44" s="74">
        <v>1</v>
      </c>
      <c r="DB44" s="74">
        <v>1</v>
      </c>
      <c r="DC44" s="74">
        <v>1</v>
      </c>
      <c r="DD44" s="74">
        <v>1</v>
      </c>
      <c r="DE44" s="74">
        <v>1</v>
      </c>
      <c r="DF44" s="74">
        <v>1</v>
      </c>
      <c r="DG44" s="74">
        <v>1</v>
      </c>
      <c r="DH44" s="74">
        <v>1</v>
      </c>
      <c r="DI44" s="74">
        <v>1</v>
      </c>
      <c r="DJ44" s="74">
        <v>1</v>
      </c>
      <c r="DK44" s="74">
        <v>1</v>
      </c>
      <c r="DL44" s="74">
        <v>1</v>
      </c>
      <c r="DM44" s="74">
        <v>1</v>
      </c>
      <c r="DN44" s="74">
        <v>1</v>
      </c>
      <c r="DO44" s="74">
        <v>1</v>
      </c>
      <c r="DP44" s="74">
        <v>1</v>
      </c>
      <c r="DQ44" s="74">
        <v>1</v>
      </c>
      <c r="DR44" s="74">
        <v>1</v>
      </c>
      <c r="DS44" s="74">
        <v>1</v>
      </c>
      <c r="DT44" s="74">
        <v>1</v>
      </c>
      <c r="DU44" s="74">
        <v>1</v>
      </c>
      <c r="DV44" s="74">
        <v>1</v>
      </c>
      <c r="DW44" s="78">
        <v>1</v>
      </c>
      <c r="DX44" s="74">
        <v>1</v>
      </c>
      <c r="DY44" s="74">
        <v>1</v>
      </c>
      <c r="DZ44" s="74">
        <v>1</v>
      </c>
      <c r="EA44" s="74">
        <v>1</v>
      </c>
      <c r="EB44" s="74">
        <v>1</v>
      </c>
      <c r="EC44" s="74">
        <v>1</v>
      </c>
      <c r="ED44" s="74">
        <v>1</v>
      </c>
      <c r="EE44" s="74">
        <v>1</v>
      </c>
      <c r="EF44" s="74">
        <v>1</v>
      </c>
      <c r="EG44" s="74">
        <v>1</v>
      </c>
      <c r="EH44" s="74">
        <v>1</v>
      </c>
      <c r="EI44" s="74">
        <v>1</v>
      </c>
      <c r="EJ44" s="74">
        <v>1</v>
      </c>
      <c r="EK44" s="74">
        <v>1</v>
      </c>
      <c r="EL44" s="74">
        <v>1</v>
      </c>
      <c r="EM44" s="74">
        <v>1</v>
      </c>
      <c r="EN44" s="74">
        <v>1</v>
      </c>
      <c r="EO44" s="74">
        <v>1</v>
      </c>
      <c r="EP44" s="74">
        <v>1</v>
      </c>
      <c r="EQ44" s="74">
        <v>1</v>
      </c>
      <c r="ER44" s="74">
        <v>1</v>
      </c>
      <c r="ES44" s="74">
        <v>1</v>
      </c>
      <c r="ET44" s="74">
        <v>1</v>
      </c>
      <c r="EU44" s="78">
        <v>1</v>
      </c>
      <c r="EV44" s="74">
        <v>1</v>
      </c>
      <c r="EW44" s="74">
        <v>1</v>
      </c>
      <c r="EX44" s="74">
        <v>1</v>
      </c>
      <c r="EY44" s="74">
        <v>1</v>
      </c>
      <c r="EZ44" s="74">
        <v>1</v>
      </c>
      <c r="FA44" s="74">
        <v>1</v>
      </c>
      <c r="FB44" s="74">
        <v>1</v>
      </c>
      <c r="FC44" s="74">
        <v>1</v>
      </c>
      <c r="FD44" s="74">
        <v>1</v>
      </c>
      <c r="FE44" s="74">
        <v>1</v>
      </c>
      <c r="FF44" s="74">
        <v>1</v>
      </c>
      <c r="FG44" s="74">
        <v>1</v>
      </c>
      <c r="FH44" s="74">
        <v>1</v>
      </c>
      <c r="FI44" s="74">
        <v>1</v>
      </c>
      <c r="FJ44" s="74">
        <v>1</v>
      </c>
      <c r="FK44" s="74">
        <v>1</v>
      </c>
      <c r="FL44" s="74">
        <v>1</v>
      </c>
      <c r="FM44" s="74">
        <v>1</v>
      </c>
      <c r="FN44" s="74">
        <v>1</v>
      </c>
      <c r="FO44" s="74">
        <v>1</v>
      </c>
      <c r="FP44" s="74">
        <v>1</v>
      </c>
      <c r="FQ44" s="74">
        <v>1</v>
      </c>
      <c r="FR44" s="74">
        <v>1</v>
      </c>
      <c r="FS44" s="78">
        <v>1</v>
      </c>
      <c r="FT44" s="74">
        <v>1</v>
      </c>
      <c r="FU44" s="74">
        <v>1</v>
      </c>
      <c r="FV44" s="74">
        <v>1</v>
      </c>
      <c r="FW44" s="74">
        <v>1</v>
      </c>
      <c r="FX44" s="74">
        <v>1</v>
      </c>
      <c r="FY44" s="74">
        <v>1</v>
      </c>
      <c r="FZ44" s="74">
        <v>1</v>
      </c>
      <c r="GA44" s="74">
        <v>1</v>
      </c>
      <c r="GB44" s="74">
        <v>1</v>
      </c>
      <c r="GC44" s="74">
        <v>1</v>
      </c>
      <c r="GD44" s="74">
        <v>1</v>
      </c>
      <c r="GE44" s="74">
        <v>1</v>
      </c>
      <c r="GF44" s="74">
        <v>1</v>
      </c>
      <c r="GG44" s="74">
        <v>1</v>
      </c>
      <c r="GH44" s="74">
        <v>1</v>
      </c>
      <c r="GI44" s="74">
        <v>1</v>
      </c>
      <c r="GJ44" s="74">
        <v>1</v>
      </c>
      <c r="GK44" s="74">
        <v>1</v>
      </c>
      <c r="GL44" s="74">
        <v>1</v>
      </c>
      <c r="GM44" s="74">
        <v>1</v>
      </c>
      <c r="GN44" s="74">
        <v>1</v>
      </c>
      <c r="GO44" s="74">
        <v>1</v>
      </c>
      <c r="GP44" s="74">
        <v>1</v>
      </c>
      <c r="GQ44" s="78">
        <v>1</v>
      </c>
      <c r="GR44" s="74">
        <v>1</v>
      </c>
      <c r="GS44" s="74">
        <v>1</v>
      </c>
      <c r="GT44" s="74">
        <v>1</v>
      </c>
      <c r="GU44" s="74">
        <v>1</v>
      </c>
      <c r="GV44" s="74">
        <v>1</v>
      </c>
      <c r="GW44" s="74">
        <v>1</v>
      </c>
      <c r="GX44" s="74">
        <v>1</v>
      </c>
      <c r="GY44" s="74">
        <v>1</v>
      </c>
      <c r="GZ44" s="74">
        <v>1</v>
      </c>
      <c r="HA44" s="74">
        <v>1</v>
      </c>
      <c r="HB44" s="74">
        <v>1</v>
      </c>
      <c r="HC44" s="74">
        <v>1</v>
      </c>
      <c r="HD44" s="74">
        <v>1</v>
      </c>
      <c r="HE44" s="74">
        <v>1</v>
      </c>
      <c r="HF44" s="74">
        <v>1</v>
      </c>
      <c r="HG44" s="74">
        <v>1</v>
      </c>
      <c r="HH44" s="74">
        <v>1</v>
      </c>
      <c r="HI44" s="74">
        <v>1</v>
      </c>
      <c r="HJ44" s="74">
        <v>1</v>
      </c>
      <c r="HK44" s="74">
        <v>1</v>
      </c>
      <c r="HL44" s="74">
        <v>1</v>
      </c>
      <c r="HM44" s="74">
        <v>1</v>
      </c>
      <c r="HN44" s="74">
        <v>1</v>
      </c>
      <c r="HO44" s="74">
        <v>1</v>
      </c>
      <c r="HP44" s="74">
        <v>1</v>
      </c>
      <c r="HQ44" s="74">
        <v>1</v>
      </c>
      <c r="HR44" s="74">
        <v>1</v>
      </c>
      <c r="HS44" s="74">
        <v>1</v>
      </c>
      <c r="HT44" s="74">
        <v>1</v>
      </c>
      <c r="HU44" s="74">
        <v>1</v>
      </c>
      <c r="HV44" s="74">
        <v>1</v>
      </c>
      <c r="HW44" s="74">
        <v>1</v>
      </c>
      <c r="HX44" s="75">
        <v>1</v>
      </c>
    </row>
    <row r="45" spans="1:232" x14ac:dyDescent="0.2">
      <c r="A45" s="27" t="s">
        <v>122</v>
      </c>
      <c r="B45" s="83" t="s">
        <v>91</v>
      </c>
      <c r="C45" s="80" t="s">
        <v>131</v>
      </c>
      <c r="D45" s="81">
        <v>5.2</v>
      </c>
      <c r="E45" s="80" t="s">
        <v>127</v>
      </c>
      <c r="F45" s="80" t="s">
        <v>123</v>
      </c>
      <c r="G45" s="78">
        <v>1</v>
      </c>
      <c r="H45" s="74">
        <v>1</v>
      </c>
      <c r="I45" s="74">
        <v>1</v>
      </c>
      <c r="J45" s="74">
        <v>1</v>
      </c>
      <c r="K45" s="74">
        <v>1</v>
      </c>
      <c r="L45" s="74">
        <v>1</v>
      </c>
      <c r="M45" s="74">
        <v>1</v>
      </c>
      <c r="N45" s="74">
        <v>1</v>
      </c>
      <c r="O45" s="74">
        <v>1</v>
      </c>
      <c r="P45" s="74">
        <v>1</v>
      </c>
      <c r="Q45" s="74">
        <v>1</v>
      </c>
      <c r="R45" s="74">
        <v>1</v>
      </c>
      <c r="S45" s="74">
        <v>1</v>
      </c>
      <c r="T45" s="74">
        <v>1</v>
      </c>
      <c r="U45" s="74">
        <v>1</v>
      </c>
      <c r="V45" s="74">
        <v>1</v>
      </c>
      <c r="W45" s="74">
        <v>1</v>
      </c>
      <c r="X45" s="74">
        <v>1</v>
      </c>
      <c r="Y45" s="74">
        <v>1</v>
      </c>
      <c r="Z45" s="74">
        <v>1</v>
      </c>
      <c r="AA45" s="74">
        <v>1</v>
      </c>
      <c r="AB45" s="74">
        <v>1</v>
      </c>
      <c r="AC45" s="74">
        <v>1</v>
      </c>
      <c r="AD45" s="74">
        <v>1</v>
      </c>
      <c r="AE45" s="78">
        <v>1</v>
      </c>
      <c r="AF45" s="74">
        <v>1</v>
      </c>
      <c r="AG45" s="74">
        <v>1</v>
      </c>
      <c r="AH45" s="74">
        <v>1</v>
      </c>
      <c r="AI45" s="74">
        <v>1</v>
      </c>
      <c r="AJ45" s="74">
        <v>1</v>
      </c>
      <c r="AK45" s="74">
        <v>1</v>
      </c>
      <c r="AL45" s="74">
        <v>1</v>
      </c>
      <c r="AM45" s="74">
        <v>1</v>
      </c>
      <c r="AN45" s="74">
        <v>1</v>
      </c>
      <c r="AO45" s="74">
        <v>1</v>
      </c>
      <c r="AP45" s="74">
        <v>1</v>
      </c>
      <c r="AQ45" s="74">
        <v>1</v>
      </c>
      <c r="AR45" s="74">
        <v>1</v>
      </c>
      <c r="AS45" s="74">
        <v>1</v>
      </c>
      <c r="AT45" s="74">
        <v>1</v>
      </c>
      <c r="AU45" s="74">
        <v>1</v>
      </c>
      <c r="AV45" s="74">
        <v>1</v>
      </c>
      <c r="AW45" s="74">
        <v>1</v>
      </c>
      <c r="AX45" s="74">
        <v>1</v>
      </c>
      <c r="AY45" s="74">
        <v>1</v>
      </c>
      <c r="AZ45" s="74">
        <v>1</v>
      </c>
      <c r="BA45" s="74">
        <v>1</v>
      </c>
      <c r="BB45" s="74">
        <v>1</v>
      </c>
      <c r="BC45" s="78">
        <v>1</v>
      </c>
      <c r="BD45" s="74">
        <v>1</v>
      </c>
      <c r="BE45" s="74">
        <v>1</v>
      </c>
      <c r="BF45" s="74">
        <v>1</v>
      </c>
      <c r="BG45" s="74">
        <v>1</v>
      </c>
      <c r="BH45" s="74">
        <v>1</v>
      </c>
      <c r="BI45" s="74">
        <v>1</v>
      </c>
      <c r="BJ45" s="74">
        <v>1</v>
      </c>
      <c r="BK45" s="74">
        <v>1</v>
      </c>
      <c r="BL45" s="74">
        <v>1</v>
      </c>
      <c r="BM45" s="74">
        <v>1</v>
      </c>
      <c r="BN45" s="74">
        <v>1</v>
      </c>
      <c r="BO45" s="74">
        <v>1</v>
      </c>
      <c r="BP45" s="74">
        <v>1</v>
      </c>
      <c r="BQ45" s="74">
        <v>1</v>
      </c>
      <c r="BR45" s="74">
        <v>1</v>
      </c>
      <c r="BS45" s="74">
        <v>1</v>
      </c>
      <c r="BT45" s="74">
        <v>1</v>
      </c>
      <c r="BU45" s="74">
        <v>1</v>
      </c>
      <c r="BV45" s="74">
        <v>1</v>
      </c>
      <c r="BW45" s="74">
        <v>1</v>
      </c>
      <c r="BX45" s="74">
        <v>1</v>
      </c>
      <c r="BY45" s="74">
        <v>1</v>
      </c>
      <c r="BZ45" s="74">
        <v>1</v>
      </c>
      <c r="CA45" s="78">
        <v>1</v>
      </c>
      <c r="CB45" s="74">
        <v>1</v>
      </c>
      <c r="CC45" s="74">
        <v>1</v>
      </c>
      <c r="CD45" s="74">
        <v>1</v>
      </c>
      <c r="CE45" s="74">
        <v>1</v>
      </c>
      <c r="CF45" s="74">
        <v>1</v>
      </c>
      <c r="CG45" s="74">
        <v>1</v>
      </c>
      <c r="CH45" s="74">
        <v>1</v>
      </c>
      <c r="CI45" s="74">
        <v>1</v>
      </c>
      <c r="CJ45" s="74">
        <v>1</v>
      </c>
      <c r="CK45" s="74">
        <v>1</v>
      </c>
      <c r="CL45" s="74">
        <v>1</v>
      </c>
      <c r="CM45" s="74">
        <v>1</v>
      </c>
      <c r="CN45" s="74">
        <v>1</v>
      </c>
      <c r="CO45" s="74">
        <v>1</v>
      </c>
      <c r="CP45" s="74">
        <v>1</v>
      </c>
      <c r="CQ45" s="74">
        <v>1</v>
      </c>
      <c r="CR45" s="74">
        <v>1</v>
      </c>
      <c r="CS45" s="74">
        <v>1</v>
      </c>
      <c r="CT45" s="74">
        <v>1</v>
      </c>
      <c r="CU45" s="74">
        <v>1</v>
      </c>
      <c r="CV45" s="74">
        <v>1</v>
      </c>
      <c r="CW45" s="74">
        <v>1</v>
      </c>
      <c r="CX45" s="74">
        <v>1</v>
      </c>
      <c r="CY45" s="78">
        <v>1</v>
      </c>
      <c r="CZ45" s="74">
        <v>1</v>
      </c>
      <c r="DA45" s="74">
        <v>1</v>
      </c>
      <c r="DB45" s="74">
        <v>1</v>
      </c>
      <c r="DC45" s="74">
        <v>1</v>
      </c>
      <c r="DD45" s="74">
        <v>1</v>
      </c>
      <c r="DE45" s="74">
        <v>1</v>
      </c>
      <c r="DF45" s="74">
        <v>1</v>
      </c>
      <c r="DG45" s="74">
        <v>1</v>
      </c>
      <c r="DH45" s="74">
        <v>1</v>
      </c>
      <c r="DI45" s="74">
        <v>1</v>
      </c>
      <c r="DJ45" s="74">
        <v>1</v>
      </c>
      <c r="DK45" s="74">
        <v>1</v>
      </c>
      <c r="DL45" s="74">
        <v>1</v>
      </c>
      <c r="DM45" s="74">
        <v>1</v>
      </c>
      <c r="DN45" s="74">
        <v>1</v>
      </c>
      <c r="DO45" s="74">
        <v>1</v>
      </c>
      <c r="DP45" s="74">
        <v>1</v>
      </c>
      <c r="DQ45" s="74">
        <v>1</v>
      </c>
      <c r="DR45" s="74">
        <v>1</v>
      </c>
      <c r="DS45" s="74">
        <v>1</v>
      </c>
      <c r="DT45" s="74">
        <v>1</v>
      </c>
      <c r="DU45" s="74">
        <v>1</v>
      </c>
      <c r="DV45" s="74">
        <v>1</v>
      </c>
      <c r="DW45" s="78">
        <v>1</v>
      </c>
      <c r="DX45" s="74">
        <v>1</v>
      </c>
      <c r="DY45" s="74">
        <v>1</v>
      </c>
      <c r="DZ45" s="74">
        <v>1</v>
      </c>
      <c r="EA45" s="74">
        <v>1</v>
      </c>
      <c r="EB45" s="74">
        <v>1</v>
      </c>
      <c r="EC45" s="74">
        <v>1</v>
      </c>
      <c r="ED45" s="74">
        <v>1</v>
      </c>
      <c r="EE45" s="74">
        <v>1</v>
      </c>
      <c r="EF45" s="74">
        <v>1</v>
      </c>
      <c r="EG45" s="74">
        <v>1</v>
      </c>
      <c r="EH45" s="74">
        <v>1</v>
      </c>
      <c r="EI45" s="74">
        <v>1</v>
      </c>
      <c r="EJ45" s="74">
        <v>1</v>
      </c>
      <c r="EK45" s="74">
        <v>1</v>
      </c>
      <c r="EL45" s="74">
        <v>1</v>
      </c>
      <c r="EM45" s="74">
        <v>1</v>
      </c>
      <c r="EN45" s="74">
        <v>1</v>
      </c>
      <c r="EO45" s="74">
        <v>1</v>
      </c>
      <c r="EP45" s="74">
        <v>1</v>
      </c>
      <c r="EQ45" s="74">
        <v>1</v>
      </c>
      <c r="ER45" s="74">
        <v>1</v>
      </c>
      <c r="ES45" s="74">
        <v>1</v>
      </c>
      <c r="ET45" s="74">
        <v>1</v>
      </c>
      <c r="EU45" s="78">
        <v>1</v>
      </c>
      <c r="EV45" s="74">
        <v>1</v>
      </c>
      <c r="EW45" s="74">
        <v>1</v>
      </c>
      <c r="EX45" s="74">
        <v>1</v>
      </c>
      <c r="EY45" s="74">
        <v>1</v>
      </c>
      <c r="EZ45" s="74">
        <v>1</v>
      </c>
      <c r="FA45" s="74">
        <v>1</v>
      </c>
      <c r="FB45" s="74">
        <v>1</v>
      </c>
      <c r="FC45" s="74">
        <v>1</v>
      </c>
      <c r="FD45" s="74">
        <v>1</v>
      </c>
      <c r="FE45" s="74">
        <v>1</v>
      </c>
      <c r="FF45" s="74">
        <v>1</v>
      </c>
      <c r="FG45" s="74">
        <v>1</v>
      </c>
      <c r="FH45" s="74">
        <v>1</v>
      </c>
      <c r="FI45" s="74">
        <v>1</v>
      </c>
      <c r="FJ45" s="74">
        <v>1</v>
      </c>
      <c r="FK45" s="74">
        <v>1</v>
      </c>
      <c r="FL45" s="74">
        <v>1</v>
      </c>
      <c r="FM45" s="74">
        <v>1</v>
      </c>
      <c r="FN45" s="74">
        <v>1</v>
      </c>
      <c r="FO45" s="74">
        <v>1</v>
      </c>
      <c r="FP45" s="74">
        <v>1</v>
      </c>
      <c r="FQ45" s="74">
        <v>1</v>
      </c>
      <c r="FR45" s="74">
        <v>1</v>
      </c>
      <c r="FS45" s="78">
        <v>1</v>
      </c>
      <c r="FT45" s="74">
        <v>1</v>
      </c>
      <c r="FU45" s="74">
        <v>1</v>
      </c>
      <c r="FV45" s="74">
        <v>1</v>
      </c>
      <c r="FW45" s="74">
        <v>1</v>
      </c>
      <c r="FX45" s="74">
        <v>1</v>
      </c>
      <c r="FY45" s="74">
        <v>1</v>
      </c>
      <c r="FZ45" s="74">
        <v>1</v>
      </c>
      <c r="GA45" s="74">
        <v>1</v>
      </c>
      <c r="GB45" s="74">
        <v>1</v>
      </c>
      <c r="GC45" s="74">
        <v>1</v>
      </c>
      <c r="GD45" s="74">
        <v>1</v>
      </c>
      <c r="GE45" s="74">
        <v>1</v>
      </c>
      <c r="GF45" s="74">
        <v>1</v>
      </c>
      <c r="GG45" s="74">
        <v>1</v>
      </c>
      <c r="GH45" s="74">
        <v>1</v>
      </c>
      <c r="GI45" s="74">
        <v>1</v>
      </c>
      <c r="GJ45" s="74">
        <v>1</v>
      </c>
      <c r="GK45" s="74">
        <v>1</v>
      </c>
      <c r="GL45" s="74">
        <v>1</v>
      </c>
      <c r="GM45" s="74">
        <v>1</v>
      </c>
      <c r="GN45" s="74">
        <v>1</v>
      </c>
      <c r="GO45" s="74">
        <v>1</v>
      </c>
      <c r="GP45" s="74">
        <v>1</v>
      </c>
      <c r="GQ45" s="78">
        <v>1</v>
      </c>
      <c r="GR45" s="74">
        <v>1</v>
      </c>
      <c r="GS45" s="74">
        <v>1</v>
      </c>
      <c r="GT45" s="74">
        <v>1</v>
      </c>
      <c r="GU45" s="74">
        <v>1</v>
      </c>
      <c r="GV45" s="74">
        <v>1</v>
      </c>
      <c r="GW45" s="74">
        <v>1</v>
      </c>
      <c r="GX45" s="74">
        <v>1</v>
      </c>
      <c r="GY45" s="74">
        <v>1</v>
      </c>
      <c r="GZ45" s="74">
        <v>1</v>
      </c>
      <c r="HA45" s="74">
        <v>1</v>
      </c>
      <c r="HB45" s="74">
        <v>1</v>
      </c>
      <c r="HC45" s="74">
        <v>1</v>
      </c>
      <c r="HD45" s="74">
        <v>1</v>
      </c>
      <c r="HE45" s="74">
        <v>1</v>
      </c>
      <c r="HF45" s="74">
        <v>1</v>
      </c>
      <c r="HG45" s="74">
        <v>1</v>
      </c>
      <c r="HH45" s="74">
        <v>1</v>
      </c>
      <c r="HI45" s="74">
        <v>1</v>
      </c>
      <c r="HJ45" s="74">
        <v>1</v>
      </c>
      <c r="HK45" s="74">
        <v>1</v>
      </c>
      <c r="HL45" s="74">
        <v>1</v>
      </c>
      <c r="HM45" s="74">
        <v>1</v>
      </c>
      <c r="HN45" s="74">
        <v>1</v>
      </c>
      <c r="HO45" s="74">
        <v>1</v>
      </c>
      <c r="HP45" s="74">
        <v>1</v>
      </c>
      <c r="HQ45" s="74">
        <v>1</v>
      </c>
      <c r="HR45" s="74">
        <v>1</v>
      </c>
      <c r="HS45" s="74">
        <v>1</v>
      </c>
      <c r="HT45" s="74">
        <v>1</v>
      </c>
      <c r="HU45" s="74">
        <v>1</v>
      </c>
      <c r="HV45" s="74">
        <v>1</v>
      </c>
      <c r="HW45" s="74">
        <v>1</v>
      </c>
      <c r="HX45" s="75">
        <v>1</v>
      </c>
    </row>
    <row r="46" spans="1:232" x14ac:dyDescent="0.2">
      <c r="B46" s="80" t="s">
        <v>92</v>
      </c>
      <c r="C46" s="80" t="s">
        <v>131</v>
      </c>
      <c r="D46" s="81">
        <v>5.2</v>
      </c>
      <c r="E46" s="80" t="s">
        <v>127</v>
      </c>
      <c r="F46" s="80" t="s">
        <v>123</v>
      </c>
      <c r="G46" s="78">
        <v>1</v>
      </c>
      <c r="H46" s="74">
        <v>1</v>
      </c>
      <c r="I46" s="74">
        <v>1</v>
      </c>
      <c r="J46" s="74">
        <v>1</v>
      </c>
      <c r="K46" s="74">
        <v>1</v>
      </c>
      <c r="L46" s="74">
        <v>1</v>
      </c>
      <c r="M46" s="74">
        <v>1</v>
      </c>
      <c r="N46" s="74">
        <v>1</v>
      </c>
      <c r="O46" s="74">
        <v>1</v>
      </c>
      <c r="P46" s="74">
        <v>1</v>
      </c>
      <c r="Q46" s="74">
        <v>1</v>
      </c>
      <c r="R46" s="74">
        <v>1</v>
      </c>
      <c r="S46" s="74">
        <v>1</v>
      </c>
      <c r="T46" s="74">
        <v>1</v>
      </c>
      <c r="U46" s="74">
        <v>1</v>
      </c>
      <c r="V46" s="74">
        <v>1</v>
      </c>
      <c r="W46" s="74">
        <v>1</v>
      </c>
      <c r="X46" s="74">
        <v>1</v>
      </c>
      <c r="Y46" s="74">
        <v>1</v>
      </c>
      <c r="Z46" s="74">
        <v>1</v>
      </c>
      <c r="AA46" s="74">
        <v>1</v>
      </c>
      <c r="AB46" s="74">
        <v>1</v>
      </c>
      <c r="AC46" s="74">
        <v>1</v>
      </c>
      <c r="AD46" s="74">
        <v>1</v>
      </c>
      <c r="AE46" s="78">
        <v>1</v>
      </c>
      <c r="AF46" s="74">
        <v>1</v>
      </c>
      <c r="AG46" s="74">
        <v>1</v>
      </c>
      <c r="AH46" s="74">
        <v>1</v>
      </c>
      <c r="AI46" s="74">
        <v>1</v>
      </c>
      <c r="AJ46" s="74">
        <v>1</v>
      </c>
      <c r="AK46" s="74">
        <v>1</v>
      </c>
      <c r="AL46" s="74">
        <v>1</v>
      </c>
      <c r="AM46" s="74">
        <v>1</v>
      </c>
      <c r="AN46" s="74">
        <v>1</v>
      </c>
      <c r="AO46" s="74">
        <v>1</v>
      </c>
      <c r="AP46" s="74">
        <v>1</v>
      </c>
      <c r="AQ46" s="74">
        <v>1</v>
      </c>
      <c r="AR46" s="74">
        <v>1</v>
      </c>
      <c r="AS46" s="74">
        <v>1</v>
      </c>
      <c r="AT46" s="74">
        <v>1</v>
      </c>
      <c r="AU46" s="74">
        <v>1</v>
      </c>
      <c r="AV46" s="74">
        <v>1</v>
      </c>
      <c r="AW46" s="74">
        <v>1</v>
      </c>
      <c r="AX46" s="74">
        <v>1</v>
      </c>
      <c r="AY46" s="74">
        <v>1</v>
      </c>
      <c r="AZ46" s="74">
        <v>1</v>
      </c>
      <c r="BA46" s="74">
        <v>1</v>
      </c>
      <c r="BB46" s="74">
        <v>1</v>
      </c>
      <c r="BC46" s="78">
        <v>1</v>
      </c>
      <c r="BD46" s="74">
        <v>1</v>
      </c>
      <c r="BE46" s="74">
        <v>1</v>
      </c>
      <c r="BF46" s="74">
        <v>1</v>
      </c>
      <c r="BG46" s="74">
        <v>1</v>
      </c>
      <c r="BH46" s="74">
        <v>1</v>
      </c>
      <c r="BI46" s="74">
        <v>1</v>
      </c>
      <c r="BJ46" s="74">
        <v>1</v>
      </c>
      <c r="BK46" s="74">
        <v>1</v>
      </c>
      <c r="BL46" s="74">
        <v>1</v>
      </c>
      <c r="BM46" s="74">
        <v>1</v>
      </c>
      <c r="BN46" s="74">
        <v>1</v>
      </c>
      <c r="BO46" s="74">
        <v>1</v>
      </c>
      <c r="BP46" s="74">
        <v>1</v>
      </c>
      <c r="BQ46" s="74">
        <v>1</v>
      </c>
      <c r="BR46" s="74">
        <v>1</v>
      </c>
      <c r="BS46" s="74">
        <v>1</v>
      </c>
      <c r="BT46" s="74">
        <v>1</v>
      </c>
      <c r="BU46" s="74">
        <v>1</v>
      </c>
      <c r="BV46" s="74">
        <v>1</v>
      </c>
      <c r="BW46" s="74">
        <v>1</v>
      </c>
      <c r="BX46" s="74">
        <v>1</v>
      </c>
      <c r="BY46" s="74">
        <v>1</v>
      </c>
      <c r="BZ46" s="74">
        <v>1</v>
      </c>
      <c r="CA46" s="78">
        <v>1</v>
      </c>
      <c r="CB46" s="74">
        <v>1</v>
      </c>
      <c r="CC46" s="74">
        <v>1</v>
      </c>
      <c r="CD46" s="74">
        <v>1</v>
      </c>
      <c r="CE46" s="74">
        <v>1</v>
      </c>
      <c r="CF46" s="74">
        <v>1</v>
      </c>
      <c r="CG46" s="74">
        <v>1</v>
      </c>
      <c r="CH46" s="74">
        <v>1</v>
      </c>
      <c r="CI46" s="74">
        <v>1</v>
      </c>
      <c r="CJ46" s="74">
        <v>1</v>
      </c>
      <c r="CK46" s="74">
        <v>1</v>
      </c>
      <c r="CL46" s="74">
        <v>1</v>
      </c>
      <c r="CM46" s="74">
        <v>1</v>
      </c>
      <c r="CN46" s="74">
        <v>1</v>
      </c>
      <c r="CO46" s="74">
        <v>1</v>
      </c>
      <c r="CP46" s="74">
        <v>1</v>
      </c>
      <c r="CQ46" s="74">
        <v>1</v>
      </c>
      <c r="CR46" s="74">
        <v>1</v>
      </c>
      <c r="CS46" s="74">
        <v>1</v>
      </c>
      <c r="CT46" s="74">
        <v>1</v>
      </c>
      <c r="CU46" s="74">
        <v>1</v>
      </c>
      <c r="CV46" s="74">
        <v>1</v>
      </c>
      <c r="CW46" s="74">
        <v>1</v>
      </c>
      <c r="CX46" s="74">
        <v>1</v>
      </c>
      <c r="CY46" s="78">
        <v>1</v>
      </c>
      <c r="CZ46" s="74">
        <v>1</v>
      </c>
      <c r="DA46" s="74">
        <v>1</v>
      </c>
      <c r="DB46" s="74">
        <v>1</v>
      </c>
      <c r="DC46" s="74">
        <v>1</v>
      </c>
      <c r="DD46" s="74">
        <v>1</v>
      </c>
      <c r="DE46" s="74">
        <v>1</v>
      </c>
      <c r="DF46" s="74">
        <v>1</v>
      </c>
      <c r="DG46" s="74">
        <v>1</v>
      </c>
      <c r="DH46" s="74">
        <v>1</v>
      </c>
      <c r="DI46" s="74">
        <v>1</v>
      </c>
      <c r="DJ46" s="74">
        <v>1</v>
      </c>
      <c r="DK46" s="74">
        <v>1</v>
      </c>
      <c r="DL46" s="74">
        <v>1</v>
      </c>
      <c r="DM46" s="74">
        <v>1</v>
      </c>
      <c r="DN46" s="74">
        <v>1</v>
      </c>
      <c r="DO46" s="74">
        <v>1</v>
      </c>
      <c r="DP46" s="74">
        <v>1</v>
      </c>
      <c r="DQ46" s="74">
        <v>1</v>
      </c>
      <c r="DR46" s="74">
        <v>1</v>
      </c>
      <c r="DS46" s="74">
        <v>1</v>
      </c>
      <c r="DT46" s="74">
        <v>1</v>
      </c>
      <c r="DU46" s="74">
        <v>1</v>
      </c>
      <c r="DV46" s="74">
        <v>1</v>
      </c>
      <c r="DW46" s="78">
        <v>1</v>
      </c>
      <c r="DX46" s="74">
        <v>1</v>
      </c>
      <c r="DY46" s="74">
        <v>1</v>
      </c>
      <c r="DZ46" s="74">
        <v>1</v>
      </c>
      <c r="EA46" s="74">
        <v>1</v>
      </c>
      <c r="EB46" s="74">
        <v>1</v>
      </c>
      <c r="EC46" s="74">
        <v>1</v>
      </c>
      <c r="ED46" s="74">
        <v>1</v>
      </c>
      <c r="EE46" s="74">
        <v>1</v>
      </c>
      <c r="EF46" s="74">
        <v>1</v>
      </c>
      <c r="EG46" s="74">
        <v>1</v>
      </c>
      <c r="EH46" s="74">
        <v>1</v>
      </c>
      <c r="EI46" s="74">
        <v>1</v>
      </c>
      <c r="EJ46" s="74">
        <v>1</v>
      </c>
      <c r="EK46" s="74">
        <v>1</v>
      </c>
      <c r="EL46" s="74">
        <v>1</v>
      </c>
      <c r="EM46" s="74">
        <v>1</v>
      </c>
      <c r="EN46" s="74">
        <v>1</v>
      </c>
      <c r="EO46" s="74">
        <v>1</v>
      </c>
      <c r="EP46" s="74">
        <v>1</v>
      </c>
      <c r="EQ46" s="74">
        <v>1</v>
      </c>
      <c r="ER46" s="74">
        <v>1</v>
      </c>
      <c r="ES46" s="74">
        <v>1</v>
      </c>
      <c r="ET46" s="74">
        <v>1</v>
      </c>
      <c r="EU46" s="78">
        <v>1</v>
      </c>
      <c r="EV46" s="74">
        <v>1</v>
      </c>
      <c r="EW46" s="74">
        <v>1</v>
      </c>
      <c r="EX46" s="74">
        <v>1</v>
      </c>
      <c r="EY46" s="74">
        <v>1</v>
      </c>
      <c r="EZ46" s="74">
        <v>1</v>
      </c>
      <c r="FA46" s="74">
        <v>1</v>
      </c>
      <c r="FB46" s="74">
        <v>1</v>
      </c>
      <c r="FC46" s="74">
        <v>1</v>
      </c>
      <c r="FD46" s="74">
        <v>1</v>
      </c>
      <c r="FE46" s="74">
        <v>1</v>
      </c>
      <c r="FF46" s="74">
        <v>1</v>
      </c>
      <c r="FG46" s="74">
        <v>1</v>
      </c>
      <c r="FH46" s="74">
        <v>1</v>
      </c>
      <c r="FI46" s="74">
        <v>1</v>
      </c>
      <c r="FJ46" s="74">
        <v>1</v>
      </c>
      <c r="FK46" s="74">
        <v>1</v>
      </c>
      <c r="FL46" s="74">
        <v>1</v>
      </c>
      <c r="FM46" s="74">
        <v>1</v>
      </c>
      <c r="FN46" s="74">
        <v>1</v>
      </c>
      <c r="FO46" s="74">
        <v>1</v>
      </c>
      <c r="FP46" s="74">
        <v>1</v>
      </c>
      <c r="FQ46" s="74">
        <v>1</v>
      </c>
      <c r="FR46" s="74">
        <v>1</v>
      </c>
      <c r="FS46" s="78">
        <v>1</v>
      </c>
      <c r="FT46" s="74">
        <v>1</v>
      </c>
      <c r="FU46" s="74">
        <v>1</v>
      </c>
      <c r="FV46" s="74">
        <v>1</v>
      </c>
      <c r="FW46" s="74">
        <v>1</v>
      </c>
      <c r="FX46" s="74">
        <v>1</v>
      </c>
      <c r="FY46" s="74">
        <v>1</v>
      </c>
      <c r="FZ46" s="74">
        <v>1</v>
      </c>
      <c r="GA46" s="74">
        <v>1</v>
      </c>
      <c r="GB46" s="74">
        <v>1</v>
      </c>
      <c r="GC46" s="74">
        <v>1</v>
      </c>
      <c r="GD46" s="74">
        <v>1</v>
      </c>
      <c r="GE46" s="74">
        <v>1</v>
      </c>
      <c r="GF46" s="74">
        <v>1</v>
      </c>
      <c r="GG46" s="74">
        <v>1</v>
      </c>
      <c r="GH46" s="74">
        <v>1</v>
      </c>
      <c r="GI46" s="74">
        <v>1</v>
      </c>
      <c r="GJ46" s="74">
        <v>1</v>
      </c>
      <c r="GK46" s="74">
        <v>1</v>
      </c>
      <c r="GL46" s="74">
        <v>1</v>
      </c>
      <c r="GM46" s="74">
        <v>1</v>
      </c>
      <c r="GN46" s="74">
        <v>1</v>
      </c>
      <c r="GO46" s="74">
        <v>1</v>
      </c>
      <c r="GP46" s="74">
        <v>1</v>
      </c>
      <c r="GQ46" s="78">
        <v>1</v>
      </c>
      <c r="GR46" s="74">
        <v>1</v>
      </c>
      <c r="GS46" s="74">
        <v>1</v>
      </c>
      <c r="GT46" s="74">
        <v>1</v>
      </c>
      <c r="GU46" s="74">
        <v>1</v>
      </c>
      <c r="GV46" s="74">
        <v>1</v>
      </c>
      <c r="GW46" s="74">
        <v>1</v>
      </c>
      <c r="GX46" s="74">
        <v>1</v>
      </c>
      <c r="GY46" s="74">
        <v>1</v>
      </c>
      <c r="GZ46" s="74">
        <v>1</v>
      </c>
      <c r="HA46" s="74">
        <v>1</v>
      </c>
      <c r="HB46" s="74">
        <v>1</v>
      </c>
      <c r="HC46" s="74">
        <v>1</v>
      </c>
      <c r="HD46" s="74">
        <v>1</v>
      </c>
      <c r="HE46" s="74">
        <v>1</v>
      </c>
      <c r="HF46" s="74">
        <v>1</v>
      </c>
      <c r="HG46" s="74">
        <v>1</v>
      </c>
      <c r="HH46" s="74">
        <v>1</v>
      </c>
      <c r="HI46" s="74">
        <v>1</v>
      </c>
      <c r="HJ46" s="74">
        <v>1</v>
      </c>
      <c r="HK46" s="74">
        <v>1</v>
      </c>
      <c r="HL46" s="74">
        <v>1</v>
      </c>
      <c r="HM46" s="74">
        <v>1</v>
      </c>
      <c r="HN46" s="74">
        <v>1</v>
      </c>
      <c r="HO46" s="74">
        <v>1</v>
      </c>
      <c r="HP46" s="74">
        <v>1</v>
      </c>
      <c r="HQ46" s="74">
        <v>1</v>
      </c>
      <c r="HR46" s="74">
        <v>1</v>
      </c>
      <c r="HS46" s="74">
        <v>1</v>
      </c>
      <c r="HT46" s="74">
        <v>1</v>
      </c>
      <c r="HU46" s="74">
        <v>1</v>
      </c>
      <c r="HV46" s="74">
        <v>1</v>
      </c>
      <c r="HW46" s="74">
        <v>1</v>
      </c>
      <c r="HX46" s="75">
        <v>1</v>
      </c>
    </row>
    <row r="47" spans="1:232" x14ac:dyDescent="0.2">
      <c r="B47" s="80" t="s">
        <v>93</v>
      </c>
      <c r="C47" s="80" t="s">
        <v>131</v>
      </c>
      <c r="D47" s="81">
        <v>5.2</v>
      </c>
      <c r="E47" s="80" t="s">
        <v>127</v>
      </c>
      <c r="F47" s="80" t="s">
        <v>123</v>
      </c>
      <c r="G47" s="78">
        <v>1</v>
      </c>
      <c r="H47" s="74">
        <v>1</v>
      </c>
      <c r="I47" s="74">
        <v>1</v>
      </c>
      <c r="J47" s="74">
        <v>1</v>
      </c>
      <c r="K47" s="74">
        <v>1</v>
      </c>
      <c r="L47" s="74">
        <v>1</v>
      </c>
      <c r="M47" s="74">
        <v>1</v>
      </c>
      <c r="N47" s="74">
        <v>1</v>
      </c>
      <c r="O47" s="74">
        <v>1</v>
      </c>
      <c r="P47" s="74">
        <v>1</v>
      </c>
      <c r="Q47" s="74">
        <v>1</v>
      </c>
      <c r="R47" s="74">
        <v>1</v>
      </c>
      <c r="S47" s="74">
        <v>1</v>
      </c>
      <c r="T47" s="74">
        <v>1</v>
      </c>
      <c r="U47" s="74">
        <v>1</v>
      </c>
      <c r="V47" s="74">
        <v>1</v>
      </c>
      <c r="W47" s="74">
        <v>1</v>
      </c>
      <c r="X47" s="74">
        <v>1</v>
      </c>
      <c r="Y47" s="74">
        <v>1</v>
      </c>
      <c r="Z47" s="74">
        <v>1</v>
      </c>
      <c r="AA47" s="74">
        <v>1</v>
      </c>
      <c r="AB47" s="74">
        <v>1</v>
      </c>
      <c r="AC47" s="74">
        <v>1</v>
      </c>
      <c r="AD47" s="74">
        <v>1</v>
      </c>
      <c r="AE47" s="78">
        <v>1</v>
      </c>
      <c r="AF47" s="74">
        <v>1</v>
      </c>
      <c r="AG47" s="74">
        <v>1</v>
      </c>
      <c r="AH47" s="74">
        <v>1</v>
      </c>
      <c r="AI47" s="74">
        <v>1</v>
      </c>
      <c r="AJ47" s="74">
        <v>1</v>
      </c>
      <c r="AK47" s="74">
        <v>1</v>
      </c>
      <c r="AL47" s="74">
        <v>1</v>
      </c>
      <c r="AM47" s="74">
        <v>1</v>
      </c>
      <c r="AN47" s="74">
        <v>1</v>
      </c>
      <c r="AO47" s="74">
        <v>1</v>
      </c>
      <c r="AP47" s="74">
        <v>1</v>
      </c>
      <c r="AQ47" s="74">
        <v>1</v>
      </c>
      <c r="AR47" s="74">
        <v>1</v>
      </c>
      <c r="AS47" s="74">
        <v>1</v>
      </c>
      <c r="AT47" s="74">
        <v>1</v>
      </c>
      <c r="AU47" s="74">
        <v>1</v>
      </c>
      <c r="AV47" s="74">
        <v>1</v>
      </c>
      <c r="AW47" s="74">
        <v>1</v>
      </c>
      <c r="AX47" s="74">
        <v>1</v>
      </c>
      <c r="AY47" s="74">
        <v>1</v>
      </c>
      <c r="AZ47" s="74">
        <v>1</v>
      </c>
      <c r="BA47" s="74">
        <v>1</v>
      </c>
      <c r="BB47" s="74">
        <v>1</v>
      </c>
      <c r="BC47" s="78">
        <v>1</v>
      </c>
      <c r="BD47" s="74">
        <v>1</v>
      </c>
      <c r="BE47" s="74">
        <v>1</v>
      </c>
      <c r="BF47" s="74">
        <v>1</v>
      </c>
      <c r="BG47" s="74">
        <v>1</v>
      </c>
      <c r="BH47" s="74">
        <v>1</v>
      </c>
      <c r="BI47" s="74">
        <v>1</v>
      </c>
      <c r="BJ47" s="74">
        <v>1</v>
      </c>
      <c r="BK47" s="74">
        <v>1</v>
      </c>
      <c r="BL47" s="74">
        <v>1</v>
      </c>
      <c r="BM47" s="74">
        <v>1</v>
      </c>
      <c r="BN47" s="74">
        <v>1</v>
      </c>
      <c r="BO47" s="74">
        <v>1</v>
      </c>
      <c r="BP47" s="74">
        <v>1</v>
      </c>
      <c r="BQ47" s="74">
        <v>1</v>
      </c>
      <c r="BR47" s="74">
        <v>1</v>
      </c>
      <c r="BS47" s="74">
        <v>1</v>
      </c>
      <c r="BT47" s="74">
        <v>1</v>
      </c>
      <c r="BU47" s="74">
        <v>1</v>
      </c>
      <c r="BV47" s="74">
        <v>1</v>
      </c>
      <c r="BW47" s="74">
        <v>1</v>
      </c>
      <c r="BX47" s="74">
        <v>1</v>
      </c>
      <c r="BY47" s="74">
        <v>1</v>
      </c>
      <c r="BZ47" s="74">
        <v>1</v>
      </c>
      <c r="CA47" s="78">
        <v>1</v>
      </c>
      <c r="CB47" s="74">
        <v>1</v>
      </c>
      <c r="CC47" s="74">
        <v>1</v>
      </c>
      <c r="CD47" s="74">
        <v>1</v>
      </c>
      <c r="CE47" s="74">
        <v>1</v>
      </c>
      <c r="CF47" s="74">
        <v>1</v>
      </c>
      <c r="CG47" s="74">
        <v>1</v>
      </c>
      <c r="CH47" s="74">
        <v>1</v>
      </c>
      <c r="CI47" s="74">
        <v>1</v>
      </c>
      <c r="CJ47" s="74">
        <v>1</v>
      </c>
      <c r="CK47" s="74">
        <v>1</v>
      </c>
      <c r="CL47" s="74">
        <v>1</v>
      </c>
      <c r="CM47" s="74">
        <v>1</v>
      </c>
      <c r="CN47" s="74">
        <v>1</v>
      </c>
      <c r="CO47" s="74">
        <v>1</v>
      </c>
      <c r="CP47" s="74">
        <v>1</v>
      </c>
      <c r="CQ47" s="74">
        <v>1</v>
      </c>
      <c r="CR47" s="74">
        <v>1</v>
      </c>
      <c r="CS47" s="74">
        <v>1</v>
      </c>
      <c r="CT47" s="74">
        <v>1</v>
      </c>
      <c r="CU47" s="74">
        <v>1</v>
      </c>
      <c r="CV47" s="74">
        <v>1</v>
      </c>
      <c r="CW47" s="74">
        <v>1</v>
      </c>
      <c r="CX47" s="74">
        <v>1</v>
      </c>
      <c r="CY47" s="78">
        <v>1</v>
      </c>
      <c r="CZ47" s="74">
        <v>1</v>
      </c>
      <c r="DA47" s="74">
        <v>1</v>
      </c>
      <c r="DB47" s="74">
        <v>1</v>
      </c>
      <c r="DC47" s="74">
        <v>1</v>
      </c>
      <c r="DD47" s="74">
        <v>1</v>
      </c>
      <c r="DE47" s="74">
        <v>1</v>
      </c>
      <c r="DF47" s="74">
        <v>1</v>
      </c>
      <c r="DG47" s="74">
        <v>1</v>
      </c>
      <c r="DH47" s="74">
        <v>1</v>
      </c>
      <c r="DI47" s="74">
        <v>1</v>
      </c>
      <c r="DJ47" s="74">
        <v>1</v>
      </c>
      <c r="DK47" s="74">
        <v>1</v>
      </c>
      <c r="DL47" s="74">
        <v>1</v>
      </c>
      <c r="DM47" s="74">
        <v>1</v>
      </c>
      <c r="DN47" s="74">
        <v>1</v>
      </c>
      <c r="DO47" s="74">
        <v>1</v>
      </c>
      <c r="DP47" s="74">
        <v>1</v>
      </c>
      <c r="DQ47" s="74">
        <v>1</v>
      </c>
      <c r="DR47" s="74">
        <v>1</v>
      </c>
      <c r="DS47" s="74">
        <v>1</v>
      </c>
      <c r="DT47" s="74">
        <v>1</v>
      </c>
      <c r="DU47" s="74">
        <v>1</v>
      </c>
      <c r="DV47" s="74">
        <v>1</v>
      </c>
      <c r="DW47" s="78">
        <v>1</v>
      </c>
      <c r="DX47" s="74">
        <v>1</v>
      </c>
      <c r="DY47" s="74">
        <v>1</v>
      </c>
      <c r="DZ47" s="74">
        <v>1</v>
      </c>
      <c r="EA47" s="74">
        <v>1</v>
      </c>
      <c r="EB47" s="74">
        <v>1</v>
      </c>
      <c r="EC47" s="74">
        <v>1</v>
      </c>
      <c r="ED47" s="74">
        <v>1</v>
      </c>
      <c r="EE47" s="74">
        <v>1</v>
      </c>
      <c r="EF47" s="74">
        <v>1</v>
      </c>
      <c r="EG47" s="74">
        <v>1</v>
      </c>
      <c r="EH47" s="74">
        <v>1</v>
      </c>
      <c r="EI47" s="74">
        <v>1</v>
      </c>
      <c r="EJ47" s="74">
        <v>1</v>
      </c>
      <c r="EK47" s="74">
        <v>1</v>
      </c>
      <c r="EL47" s="74">
        <v>1</v>
      </c>
      <c r="EM47" s="74">
        <v>1</v>
      </c>
      <c r="EN47" s="74">
        <v>1</v>
      </c>
      <c r="EO47" s="74">
        <v>1</v>
      </c>
      <c r="EP47" s="74">
        <v>1</v>
      </c>
      <c r="EQ47" s="74">
        <v>1</v>
      </c>
      <c r="ER47" s="74">
        <v>1</v>
      </c>
      <c r="ES47" s="74">
        <v>1</v>
      </c>
      <c r="ET47" s="74">
        <v>1</v>
      </c>
      <c r="EU47" s="78">
        <v>1</v>
      </c>
      <c r="EV47" s="74">
        <v>1</v>
      </c>
      <c r="EW47" s="74">
        <v>1</v>
      </c>
      <c r="EX47" s="74">
        <v>1</v>
      </c>
      <c r="EY47" s="74">
        <v>1</v>
      </c>
      <c r="EZ47" s="74">
        <v>1</v>
      </c>
      <c r="FA47" s="74">
        <v>1</v>
      </c>
      <c r="FB47" s="74">
        <v>1</v>
      </c>
      <c r="FC47" s="74">
        <v>1</v>
      </c>
      <c r="FD47" s="74">
        <v>1</v>
      </c>
      <c r="FE47" s="74">
        <v>1</v>
      </c>
      <c r="FF47" s="74">
        <v>1</v>
      </c>
      <c r="FG47" s="74">
        <v>1</v>
      </c>
      <c r="FH47" s="74">
        <v>1</v>
      </c>
      <c r="FI47" s="74">
        <v>1</v>
      </c>
      <c r="FJ47" s="74">
        <v>1</v>
      </c>
      <c r="FK47" s="74">
        <v>1</v>
      </c>
      <c r="FL47" s="74">
        <v>1</v>
      </c>
      <c r="FM47" s="74">
        <v>1</v>
      </c>
      <c r="FN47" s="74">
        <v>1</v>
      </c>
      <c r="FO47" s="74">
        <v>1</v>
      </c>
      <c r="FP47" s="74">
        <v>1</v>
      </c>
      <c r="FQ47" s="74">
        <v>1</v>
      </c>
      <c r="FR47" s="74">
        <v>1</v>
      </c>
      <c r="FS47" s="78">
        <v>1</v>
      </c>
      <c r="FT47" s="74">
        <v>1</v>
      </c>
      <c r="FU47" s="74">
        <v>1</v>
      </c>
      <c r="FV47" s="74">
        <v>1</v>
      </c>
      <c r="FW47" s="74">
        <v>1</v>
      </c>
      <c r="FX47" s="74">
        <v>1</v>
      </c>
      <c r="FY47" s="74">
        <v>1</v>
      </c>
      <c r="FZ47" s="74">
        <v>1</v>
      </c>
      <c r="GA47" s="74">
        <v>1</v>
      </c>
      <c r="GB47" s="74">
        <v>1</v>
      </c>
      <c r="GC47" s="74">
        <v>1</v>
      </c>
      <c r="GD47" s="74">
        <v>1</v>
      </c>
      <c r="GE47" s="74">
        <v>1</v>
      </c>
      <c r="GF47" s="74">
        <v>1</v>
      </c>
      <c r="GG47" s="74">
        <v>1</v>
      </c>
      <c r="GH47" s="74">
        <v>1</v>
      </c>
      <c r="GI47" s="74">
        <v>1</v>
      </c>
      <c r="GJ47" s="74">
        <v>1</v>
      </c>
      <c r="GK47" s="74">
        <v>1</v>
      </c>
      <c r="GL47" s="74">
        <v>1</v>
      </c>
      <c r="GM47" s="74">
        <v>1</v>
      </c>
      <c r="GN47" s="74">
        <v>1</v>
      </c>
      <c r="GO47" s="74">
        <v>1</v>
      </c>
      <c r="GP47" s="74">
        <v>1</v>
      </c>
      <c r="GQ47" s="78">
        <v>1</v>
      </c>
      <c r="GR47" s="74">
        <v>1</v>
      </c>
      <c r="GS47" s="74">
        <v>1</v>
      </c>
      <c r="GT47" s="74">
        <v>1</v>
      </c>
      <c r="GU47" s="74">
        <v>1</v>
      </c>
      <c r="GV47" s="74">
        <v>1</v>
      </c>
      <c r="GW47" s="74">
        <v>1</v>
      </c>
      <c r="GX47" s="74">
        <v>1</v>
      </c>
      <c r="GY47" s="74">
        <v>1</v>
      </c>
      <c r="GZ47" s="74">
        <v>1</v>
      </c>
      <c r="HA47" s="74">
        <v>1</v>
      </c>
      <c r="HB47" s="74">
        <v>1</v>
      </c>
      <c r="HC47" s="74">
        <v>1</v>
      </c>
      <c r="HD47" s="74">
        <v>1</v>
      </c>
      <c r="HE47" s="74">
        <v>1</v>
      </c>
      <c r="HF47" s="74">
        <v>1</v>
      </c>
      <c r="HG47" s="74">
        <v>1</v>
      </c>
      <c r="HH47" s="74">
        <v>1</v>
      </c>
      <c r="HI47" s="74">
        <v>1</v>
      </c>
      <c r="HJ47" s="74">
        <v>1</v>
      </c>
      <c r="HK47" s="74">
        <v>1</v>
      </c>
      <c r="HL47" s="74">
        <v>1</v>
      </c>
      <c r="HM47" s="74">
        <v>1</v>
      </c>
      <c r="HN47" s="74">
        <v>1</v>
      </c>
      <c r="HO47" s="74">
        <v>1</v>
      </c>
      <c r="HP47" s="74">
        <v>1</v>
      </c>
      <c r="HQ47" s="74">
        <v>1</v>
      </c>
      <c r="HR47" s="74">
        <v>1</v>
      </c>
      <c r="HS47" s="74">
        <v>1</v>
      </c>
      <c r="HT47" s="74">
        <v>1</v>
      </c>
      <c r="HU47" s="74">
        <v>1</v>
      </c>
      <c r="HV47" s="74">
        <v>1</v>
      </c>
      <c r="HW47" s="74">
        <v>1</v>
      </c>
      <c r="HX47" s="75">
        <v>1</v>
      </c>
    </row>
    <row r="48" spans="1:232" x14ac:dyDescent="0.2">
      <c r="B48" s="103" t="s">
        <v>94</v>
      </c>
      <c r="C48" s="107" t="s">
        <v>132</v>
      </c>
      <c r="D48" s="108">
        <v>5.2</v>
      </c>
      <c r="E48" s="107" t="s">
        <v>127</v>
      </c>
      <c r="F48" s="107" t="s">
        <v>123</v>
      </c>
      <c r="G48" s="78">
        <v>1</v>
      </c>
      <c r="H48" s="74">
        <v>1</v>
      </c>
      <c r="I48" s="74">
        <v>1</v>
      </c>
      <c r="J48" s="74">
        <v>1</v>
      </c>
      <c r="K48" s="74">
        <v>1</v>
      </c>
      <c r="L48" s="74">
        <v>1</v>
      </c>
      <c r="M48" s="74">
        <v>1</v>
      </c>
      <c r="N48" s="74">
        <v>1</v>
      </c>
      <c r="O48" s="74">
        <v>1</v>
      </c>
      <c r="P48" s="74">
        <v>1</v>
      </c>
      <c r="Q48" s="74">
        <v>1</v>
      </c>
      <c r="R48" s="74">
        <v>1</v>
      </c>
      <c r="S48" s="74">
        <v>1</v>
      </c>
      <c r="T48" s="74">
        <v>1</v>
      </c>
      <c r="U48" s="74">
        <v>1</v>
      </c>
      <c r="V48" s="74">
        <v>1</v>
      </c>
      <c r="W48" s="74">
        <v>1</v>
      </c>
      <c r="X48" s="74">
        <v>1</v>
      </c>
      <c r="Y48" s="74">
        <v>1</v>
      </c>
      <c r="Z48" s="74">
        <v>1</v>
      </c>
      <c r="AA48" s="74">
        <v>1</v>
      </c>
      <c r="AB48" s="74">
        <v>1</v>
      </c>
      <c r="AC48" s="74">
        <v>1</v>
      </c>
      <c r="AD48" s="74">
        <v>1</v>
      </c>
      <c r="AE48" s="78">
        <v>1</v>
      </c>
      <c r="AF48" s="74">
        <v>1</v>
      </c>
      <c r="AG48" s="74">
        <v>1</v>
      </c>
      <c r="AH48" s="74">
        <v>1</v>
      </c>
      <c r="AI48" s="74">
        <v>1</v>
      </c>
      <c r="AJ48" s="74">
        <v>1</v>
      </c>
      <c r="AK48" s="74">
        <v>1</v>
      </c>
      <c r="AL48" s="74">
        <v>1</v>
      </c>
      <c r="AM48" s="74">
        <v>1</v>
      </c>
      <c r="AN48" s="74">
        <v>1</v>
      </c>
      <c r="AO48" s="74">
        <v>1</v>
      </c>
      <c r="AP48" s="74">
        <v>1</v>
      </c>
      <c r="AQ48" s="74">
        <v>1</v>
      </c>
      <c r="AR48" s="74">
        <v>1</v>
      </c>
      <c r="AS48" s="74">
        <v>1</v>
      </c>
      <c r="AT48" s="74">
        <v>1</v>
      </c>
      <c r="AU48" s="74">
        <v>1</v>
      </c>
      <c r="AV48" s="74">
        <v>1</v>
      </c>
      <c r="AW48" s="74">
        <v>1</v>
      </c>
      <c r="AX48" s="74">
        <v>1</v>
      </c>
      <c r="AY48" s="74">
        <v>1</v>
      </c>
      <c r="AZ48" s="74">
        <v>1</v>
      </c>
      <c r="BA48" s="74">
        <v>0</v>
      </c>
      <c r="BB48" s="74">
        <v>0</v>
      </c>
      <c r="BC48" s="78">
        <v>0</v>
      </c>
      <c r="BD48" s="74">
        <v>0</v>
      </c>
      <c r="BE48" s="74">
        <v>0</v>
      </c>
      <c r="BF48" s="74">
        <v>0</v>
      </c>
      <c r="BG48" s="74">
        <v>0</v>
      </c>
      <c r="BH48" s="74">
        <v>0</v>
      </c>
      <c r="BI48" s="74">
        <v>0</v>
      </c>
      <c r="BJ48" s="74">
        <v>0</v>
      </c>
      <c r="BK48" s="74">
        <v>0</v>
      </c>
      <c r="BL48" s="74">
        <v>0</v>
      </c>
      <c r="BM48" s="74">
        <v>0</v>
      </c>
      <c r="BN48" s="74">
        <v>0</v>
      </c>
      <c r="BO48" s="74">
        <v>0</v>
      </c>
      <c r="BP48" s="74">
        <v>0</v>
      </c>
      <c r="BQ48" s="74">
        <v>0</v>
      </c>
      <c r="BR48" s="74">
        <v>0</v>
      </c>
      <c r="BS48" s="74">
        <v>0</v>
      </c>
      <c r="BT48" s="74">
        <v>0</v>
      </c>
      <c r="BU48" s="74">
        <v>0</v>
      </c>
      <c r="BV48" s="74">
        <v>0</v>
      </c>
      <c r="BW48" s="74">
        <v>0</v>
      </c>
      <c r="BX48" s="74">
        <v>0</v>
      </c>
      <c r="BY48" s="74">
        <v>0</v>
      </c>
      <c r="BZ48" s="74">
        <v>0</v>
      </c>
      <c r="CA48" s="78">
        <v>0</v>
      </c>
      <c r="CB48" s="74">
        <v>0</v>
      </c>
      <c r="CC48" s="74">
        <v>0</v>
      </c>
      <c r="CD48" s="74">
        <v>0</v>
      </c>
      <c r="CE48" s="74">
        <v>0</v>
      </c>
      <c r="CF48" s="74">
        <v>0</v>
      </c>
      <c r="CG48" s="74">
        <v>0</v>
      </c>
      <c r="CH48" s="74">
        <v>0</v>
      </c>
      <c r="CI48" s="74">
        <v>0</v>
      </c>
      <c r="CJ48" s="74">
        <v>0</v>
      </c>
      <c r="CK48" s="74">
        <v>0</v>
      </c>
      <c r="CL48" s="74">
        <v>0</v>
      </c>
      <c r="CM48" s="74">
        <v>0</v>
      </c>
      <c r="CN48" s="74">
        <v>0</v>
      </c>
      <c r="CO48" s="74">
        <v>0</v>
      </c>
      <c r="CP48" s="74">
        <v>0</v>
      </c>
      <c r="CQ48" s="74">
        <v>0</v>
      </c>
      <c r="CR48" s="74">
        <v>0</v>
      </c>
      <c r="CS48" s="74">
        <v>0</v>
      </c>
      <c r="CT48" s="74">
        <v>0</v>
      </c>
      <c r="CU48" s="74">
        <v>0</v>
      </c>
      <c r="CV48" s="74">
        <v>0</v>
      </c>
      <c r="CW48" s="74">
        <v>0</v>
      </c>
      <c r="CX48" s="74">
        <v>0</v>
      </c>
      <c r="CY48" s="78">
        <v>0</v>
      </c>
      <c r="CZ48" s="74">
        <v>0</v>
      </c>
      <c r="DA48" s="74">
        <v>0</v>
      </c>
      <c r="DB48" s="74">
        <v>0</v>
      </c>
      <c r="DC48" s="74">
        <v>0</v>
      </c>
      <c r="DD48" s="74">
        <v>0</v>
      </c>
      <c r="DE48" s="74">
        <v>0</v>
      </c>
      <c r="DF48" s="74">
        <v>0</v>
      </c>
      <c r="DG48" s="74">
        <v>0</v>
      </c>
      <c r="DH48" s="74">
        <v>0</v>
      </c>
      <c r="DI48" s="74">
        <v>0</v>
      </c>
      <c r="DJ48" s="74">
        <v>0</v>
      </c>
      <c r="DK48" s="74">
        <v>0</v>
      </c>
      <c r="DL48" s="74">
        <v>0</v>
      </c>
      <c r="DM48" s="74">
        <v>0</v>
      </c>
      <c r="DN48" s="74">
        <v>0</v>
      </c>
      <c r="DO48" s="74">
        <v>0</v>
      </c>
      <c r="DP48" s="74">
        <v>0</v>
      </c>
      <c r="DQ48" s="74">
        <v>0</v>
      </c>
      <c r="DR48" s="74">
        <v>0</v>
      </c>
      <c r="DS48" s="74">
        <v>0</v>
      </c>
      <c r="DT48" s="74">
        <v>0</v>
      </c>
      <c r="DU48" s="74">
        <v>0</v>
      </c>
      <c r="DV48" s="74">
        <v>0</v>
      </c>
      <c r="DW48" s="78">
        <v>0</v>
      </c>
      <c r="DX48" s="74">
        <v>0</v>
      </c>
      <c r="DY48" s="74">
        <v>0</v>
      </c>
      <c r="DZ48" s="74">
        <v>0</v>
      </c>
      <c r="EA48" s="74">
        <v>0</v>
      </c>
      <c r="EB48" s="74">
        <v>0</v>
      </c>
      <c r="EC48" s="74">
        <v>0</v>
      </c>
      <c r="ED48" s="74">
        <v>0</v>
      </c>
      <c r="EE48" s="74">
        <v>0</v>
      </c>
      <c r="EF48" s="74">
        <v>0</v>
      </c>
      <c r="EG48" s="74">
        <v>0</v>
      </c>
      <c r="EH48" s="74">
        <v>0</v>
      </c>
      <c r="EI48" s="74">
        <v>0</v>
      </c>
      <c r="EJ48" s="74">
        <v>0</v>
      </c>
      <c r="EK48" s="74">
        <v>0</v>
      </c>
      <c r="EL48" s="74">
        <v>0</v>
      </c>
      <c r="EM48" s="74">
        <v>0</v>
      </c>
      <c r="EN48" s="74">
        <v>0</v>
      </c>
      <c r="EO48" s="74">
        <v>0</v>
      </c>
      <c r="EP48" s="74">
        <v>0</v>
      </c>
      <c r="EQ48" s="74">
        <v>0</v>
      </c>
      <c r="ER48" s="74">
        <v>0</v>
      </c>
      <c r="ES48" s="74">
        <v>0</v>
      </c>
      <c r="ET48" s="74">
        <v>0</v>
      </c>
      <c r="EU48" s="78">
        <v>0</v>
      </c>
      <c r="EV48" s="74">
        <v>0</v>
      </c>
      <c r="EW48" s="74">
        <v>0</v>
      </c>
      <c r="EX48" s="74">
        <v>0</v>
      </c>
      <c r="EY48" s="74">
        <v>0</v>
      </c>
      <c r="EZ48" s="74">
        <v>0</v>
      </c>
      <c r="FA48" s="74">
        <v>0</v>
      </c>
      <c r="FB48" s="74">
        <v>0</v>
      </c>
      <c r="FC48" s="74">
        <v>0</v>
      </c>
      <c r="FD48" s="74">
        <v>0</v>
      </c>
      <c r="FE48" s="74">
        <v>0</v>
      </c>
      <c r="FF48" s="74">
        <v>0</v>
      </c>
      <c r="FG48" s="74">
        <v>0</v>
      </c>
      <c r="FH48" s="74">
        <v>0</v>
      </c>
      <c r="FI48" s="74">
        <v>0</v>
      </c>
      <c r="FJ48" s="74">
        <v>0</v>
      </c>
      <c r="FK48" s="74">
        <v>0</v>
      </c>
      <c r="FL48" s="74">
        <v>0</v>
      </c>
      <c r="FM48" s="74">
        <v>0</v>
      </c>
      <c r="FN48" s="74">
        <v>0</v>
      </c>
      <c r="FO48" s="74">
        <v>0</v>
      </c>
      <c r="FP48" s="74">
        <v>0</v>
      </c>
      <c r="FQ48" s="74">
        <v>0</v>
      </c>
      <c r="FR48" s="74">
        <v>0</v>
      </c>
      <c r="FS48" s="78">
        <v>0</v>
      </c>
      <c r="FT48" s="74">
        <v>0</v>
      </c>
      <c r="FU48" s="74">
        <v>0</v>
      </c>
      <c r="FV48" s="74">
        <v>0</v>
      </c>
      <c r="FW48" s="74">
        <v>0</v>
      </c>
      <c r="FX48" s="74">
        <v>0</v>
      </c>
      <c r="FY48" s="74">
        <v>0</v>
      </c>
      <c r="FZ48" s="74">
        <v>0</v>
      </c>
      <c r="GA48" s="74">
        <v>0</v>
      </c>
      <c r="GB48" s="74">
        <v>0</v>
      </c>
      <c r="GC48" s="74">
        <v>0</v>
      </c>
      <c r="GD48" s="74">
        <v>0</v>
      </c>
      <c r="GE48" s="74">
        <v>0</v>
      </c>
      <c r="GF48" s="74">
        <v>0</v>
      </c>
      <c r="GG48" s="74">
        <v>0</v>
      </c>
      <c r="GH48" s="74">
        <v>0</v>
      </c>
      <c r="GI48" s="74">
        <v>0</v>
      </c>
      <c r="GJ48" s="74">
        <v>0</v>
      </c>
      <c r="GK48" s="74">
        <v>0</v>
      </c>
      <c r="GL48" s="74">
        <v>0</v>
      </c>
      <c r="GM48" s="74">
        <v>0</v>
      </c>
      <c r="GN48" s="74">
        <v>0</v>
      </c>
      <c r="GO48" s="74">
        <v>0</v>
      </c>
      <c r="GP48" s="74">
        <v>0</v>
      </c>
      <c r="GQ48" s="78">
        <v>0</v>
      </c>
      <c r="GR48" s="74">
        <v>0</v>
      </c>
      <c r="GS48" s="74">
        <v>0</v>
      </c>
      <c r="GT48" s="74">
        <v>0</v>
      </c>
      <c r="GU48" s="74">
        <v>0</v>
      </c>
      <c r="GV48" s="74">
        <v>0</v>
      </c>
      <c r="GW48" s="74">
        <v>0</v>
      </c>
      <c r="GX48" s="74">
        <v>0</v>
      </c>
      <c r="GY48" s="74">
        <v>0</v>
      </c>
      <c r="GZ48" s="74">
        <v>0</v>
      </c>
      <c r="HA48" s="74">
        <v>0</v>
      </c>
      <c r="HB48" s="74">
        <v>0</v>
      </c>
      <c r="HC48" s="74">
        <v>0</v>
      </c>
      <c r="HD48" s="74">
        <v>0</v>
      </c>
      <c r="HE48" s="74">
        <v>0</v>
      </c>
      <c r="HF48" s="74">
        <v>0</v>
      </c>
      <c r="HG48" s="74">
        <v>0</v>
      </c>
      <c r="HH48" s="74">
        <v>0</v>
      </c>
      <c r="HI48" s="74">
        <v>0</v>
      </c>
      <c r="HJ48" s="74">
        <v>0</v>
      </c>
      <c r="HK48" s="74">
        <v>0</v>
      </c>
      <c r="HL48" s="74">
        <v>0</v>
      </c>
      <c r="HM48" s="74">
        <v>0</v>
      </c>
      <c r="HN48" s="74">
        <v>0</v>
      </c>
      <c r="HO48" s="74">
        <v>0</v>
      </c>
      <c r="HP48" s="74">
        <v>0</v>
      </c>
      <c r="HQ48" s="74">
        <v>0</v>
      </c>
      <c r="HR48" s="74">
        <v>0</v>
      </c>
      <c r="HS48" s="74">
        <v>0</v>
      </c>
      <c r="HT48" s="74">
        <v>0</v>
      </c>
      <c r="HU48" s="74">
        <v>0</v>
      </c>
      <c r="HV48" s="74">
        <v>0</v>
      </c>
      <c r="HW48" s="74">
        <v>0</v>
      </c>
      <c r="HX48" s="75">
        <v>0</v>
      </c>
    </row>
    <row r="49" spans="1:232" x14ac:dyDescent="0.2">
      <c r="B49" s="80" t="s">
        <v>95</v>
      </c>
      <c r="C49" s="80" t="s">
        <v>132</v>
      </c>
      <c r="D49" s="81">
        <v>5.2</v>
      </c>
      <c r="E49" s="80" t="s">
        <v>127</v>
      </c>
      <c r="F49" s="80" t="s">
        <v>123</v>
      </c>
      <c r="G49" s="78">
        <v>1</v>
      </c>
      <c r="H49" s="74">
        <v>1</v>
      </c>
      <c r="I49" s="74">
        <v>1</v>
      </c>
      <c r="J49" s="74">
        <v>1</v>
      </c>
      <c r="K49" s="74">
        <v>1</v>
      </c>
      <c r="L49" s="74">
        <v>1</v>
      </c>
      <c r="M49" s="74">
        <v>1</v>
      </c>
      <c r="N49" s="74">
        <v>1</v>
      </c>
      <c r="O49" s="74">
        <v>1</v>
      </c>
      <c r="P49" s="74">
        <v>1</v>
      </c>
      <c r="Q49" s="74">
        <v>1</v>
      </c>
      <c r="R49" s="74">
        <v>1</v>
      </c>
      <c r="S49" s="74">
        <v>1</v>
      </c>
      <c r="T49" s="74">
        <v>1</v>
      </c>
      <c r="U49" s="74">
        <v>1</v>
      </c>
      <c r="V49" s="74">
        <v>1</v>
      </c>
      <c r="W49" s="74">
        <v>1</v>
      </c>
      <c r="X49" s="74">
        <v>1</v>
      </c>
      <c r="Y49" s="74">
        <v>1</v>
      </c>
      <c r="Z49" s="74">
        <v>1</v>
      </c>
      <c r="AA49" s="74">
        <v>1</v>
      </c>
      <c r="AB49" s="74">
        <v>1</v>
      </c>
      <c r="AC49" s="74">
        <v>1</v>
      </c>
      <c r="AD49" s="74">
        <v>1</v>
      </c>
      <c r="AE49" s="78">
        <v>1</v>
      </c>
      <c r="AF49" s="74">
        <v>1</v>
      </c>
      <c r="AG49" s="74">
        <v>1</v>
      </c>
      <c r="AH49" s="74">
        <v>1</v>
      </c>
      <c r="AI49" s="74">
        <v>1</v>
      </c>
      <c r="AJ49" s="74">
        <v>1</v>
      </c>
      <c r="AK49" s="74">
        <v>1</v>
      </c>
      <c r="AL49" s="74">
        <v>1</v>
      </c>
      <c r="AM49" s="74">
        <v>1</v>
      </c>
      <c r="AN49" s="74">
        <v>1</v>
      </c>
      <c r="AO49" s="74">
        <v>1</v>
      </c>
      <c r="AP49" s="74">
        <v>1</v>
      </c>
      <c r="AQ49" s="74">
        <v>1</v>
      </c>
      <c r="AR49" s="74">
        <v>1</v>
      </c>
      <c r="AS49" s="74">
        <v>1</v>
      </c>
      <c r="AT49" s="74">
        <v>1</v>
      </c>
      <c r="AU49" s="74">
        <v>1</v>
      </c>
      <c r="AV49" s="74">
        <v>1</v>
      </c>
      <c r="AW49" s="74">
        <v>1</v>
      </c>
      <c r="AX49" s="74">
        <v>1</v>
      </c>
      <c r="AY49" s="74">
        <v>1</v>
      </c>
      <c r="AZ49" s="74">
        <v>1</v>
      </c>
      <c r="BA49" s="74">
        <v>1</v>
      </c>
      <c r="BB49" s="74">
        <v>1</v>
      </c>
      <c r="BC49" s="78">
        <v>1</v>
      </c>
      <c r="BD49" s="74">
        <v>1</v>
      </c>
      <c r="BE49" s="74">
        <v>1</v>
      </c>
      <c r="BF49" s="74">
        <v>1</v>
      </c>
      <c r="BG49" s="74">
        <v>1</v>
      </c>
      <c r="BH49" s="74">
        <v>1</v>
      </c>
      <c r="BI49" s="74">
        <v>1</v>
      </c>
      <c r="BJ49" s="74">
        <v>1</v>
      </c>
      <c r="BK49" s="74">
        <v>1</v>
      </c>
      <c r="BL49" s="74">
        <v>1</v>
      </c>
      <c r="BM49" s="74">
        <v>1</v>
      </c>
      <c r="BN49" s="74">
        <v>1</v>
      </c>
      <c r="BO49" s="74">
        <v>1</v>
      </c>
      <c r="BP49" s="74">
        <v>1</v>
      </c>
      <c r="BQ49" s="74">
        <v>1</v>
      </c>
      <c r="BR49" s="74">
        <v>1</v>
      </c>
      <c r="BS49" s="74">
        <v>1</v>
      </c>
      <c r="BT49" s="74">
        <v>1</v>
      </c>
      <c r="BU49" s="74">
        <v>1</v>
      </c>
      <c r="BV49" s="74">
        <v>1</v>
      </c>
      <c r="BW49" s="74">
        <v>1</v>
      </c>
      <c r="BX49" s="74">
        <v>1</v>
      </c>
      <c r="BY49" s="74">
        <v>1</v>
      </c>
      <c r="BZ49" s="74">
        <v>1</v>
      </c>
      <c r="CA49" s="78">
        <v>1</v>
      </c>
      <c r="CB49" s="74">
        <v>1</v>
      </c>
      <c r="CC49" s="74">
        <v>1</v>
      </c>
      <c r="CD49" s="74">
        <v>1</v>
      </c>
      <c r="CE49" s="74">
        <v>1</v>
      </c>
      <c r="CF49" s="74">
        <v>1</v>
      </c>
      <c r="CG49" s="74">
        <v>1</v>
      </c>
      <c r="CH49" s="74">
        <v>1</v>
      </c>
      <c r="CI49" s="74">
        <v>1</v>
      </c>
      <c r="CJ49" s="74">
        <v>1</v>
      </c>
      <c r="CK49" s="74">
        <v>1</v>
      </c>
      <c r="CL49" s="74">
        <v>1</v>
      </c>
      <c r="CM49" s="74">
        <v>1</v>
      </c>
      <c r="CN49" s="74">
        <v>1</v>
      </c>
      <c r="CO49" s="74">
        <v>1</v>
      </c>
      <c r="CP49" s="74">
        <v>1</v>
      </c>
      <c r="CQ49" s="74">
        <v>1</v>
      </c>
      <c r="CR49" s="74">
        <v>1</v>
      </c>
      <c r="CS49" s="74">
        <v>1</v>
      </c>
      <c r="CT49" s="74">
        <v>1</v>
      </c>
      <c r="CU49" s="74">
        <v>1</v>
      </c>
      <c r="CV49" s="74">
        <v>1</v>
      </c>
      <c r="CW49" s="74">
        <v>1</v>
      </c>
      <c r="CX49" s="74">
        <v>1</v>
      </c>
      <c r="CY49" s="78">
        <v>1</v>
      </c>
      <c r="CZ49" s="74">
        <v>1</v>
      </c>
      <c r="DA49" s="74">
        <v>1</v>
      </c>
      <c r="DB49" s="74">
        <v>1</v>
      </c>
      <c r="DC49" s="74">
        <v>1</v>
      </c>
      <c r="DD49" s="74">
        <v>1</v>
      </c>
      <c r="DE49" s="74">
        <v>1</v>
      </c>
      <c r="DF49" s="74">
        <v>1</v>
      </c>
      <c r="DG49" s="74">
        <v>1</v>
      </c>
      <c r="DH49" s="74">
        <v>1</v>
      </c>
      <c r="DI49" s="74">
        <v>1</v>
      </c>
      <c r="DJ49" s="74">
        <v>1</v>
      </c>
      <c r="DK49" s="74">
        <v>1</v>
      </c>
      <c r="DL49" s="74">
        <v>1</v>
      </c>
      <c r="DM49" s="74">
        <v>1</v>
      </c>
      <c r="DN49" s="74">
        <v>1</v>
      </c>
      <c r="DO49" s="74">
        <v>1</v>
      </c>
      <c r="DP49" s="74">
        <v>1</v>
      </c>
      <c r="DQ49" s="74">
        <v>1</v>
      </c>
      <c r="DR49" s="74">
        <v>1</v>
      </c>
      <c r="DS49" s="74">
        <v>1</v>
      </c>
      <c r="DT49" s="74">
        <v>1</v>
      </c>
      <c r="DU49" s="74">
        <v>1</v>
      </c>
      <c r="DV49" s="74">
        <v>1</v>
      </c>
      <c r="DW49" s="78">
        <v>1</v>
      </c>
      <c r="DX49" s="74">
        <v>1</v>
      </c>
      <c r="DY49" s="74">
        <v>1</v>
      </c>
      <c r="DZ49" s="74">
        <v>1</v>
      </c>
      <c r="EA49" s="74">
        <v>1</v>
      </c>
      <c r="EB49" s="74">
        <v>1</v>
      </c>
      <c r="EC49" s="74">
        <v>1</v>
      </c>
      <c r="ED49" s="74">
        <v>1</v>
      </c>
      <c r="EE49" s="74">
        <v>1</v>
      </c>
      <c r="EF49" s="74">
        <v>1</v>
      </c>
      <c r="EG49" s="74">
        <v>1</v>
      </c>
      <c r="EH49" s="74">
        <v>1</v>
      </c>
      <c r="EI49" s="74">
        <v>1</v>
      </c>
      <c r="EJ49" s="74">
        <v>1</v>
      </c>
      <c r="EK49" s="74">
        <v>1</v>
      </c>
      <c r="EL49" s="74">
        <v>1</v>
      </c>
      <c r="EM49" s="74">
        <v>1</v>
      </c>
      <c r="EN49" s="74">
        <v>1</v>
      </c>
      <c r="EO49" s="74">
        <v>1</v>
      </c>
      <c r="EP49" s="74">
        <v>1</v>
      </c>
      <c r="EQ49" s="74">
        <v>1</v>
      </c>
      <c r="ER49" s="74">
        <v>1</v>
      </c>
      <c r="ES49" s="74">
        <v>1</v>
      </c>
      <c r="ET49" s="74">
        <v>1</v>
      </c>
      <c r="EU49" s="78">
        <v>1</v>
      </c>
      <c r="EV49" s="74">
        <v>1</v>
      </c>
      <c r="EW49" s="74">
        <v>1</v>
      </c>
      <c r="EX49" s="74">
        <v>1</v>
      </c>
      <c r="EY49" s="74">
        <v>1</v>
      </c>
      <c r="EZ49" s="74">
        <v>1</v>
      </c>
      <c r="FA49" s="74">
        <v>1</v>
      </c>
      <c r="FB49" s="74">
        <v>1</v>
      </c>
      <c r="FC49" s="74">
        <v>1</v>
      </c>
      <c r="FD49" s="74">
        <v>1</v>
      </c>
      <c r="FE49" s="74">
        <v>1</v>
      </c>
      <c r="FF49" s="74">
        <v>1</v>
      </c>
      <c r="FG49" s="74">
        <v>1</v>
      </c>
      <c r="FH49" s="74">
        <v>1</v>
      </c>
      <c r="FI49" s="74">
        <v>1</v>
      </c>
      <c r="FJ49" s="74">
        <v>1</v>
      </c>
      <c r="FK49" s="74">
        <v>1</v>
      </c>
      <c r="FL49" s="74">
        <v>1</v>
      </c>
      <c r="FM49" s="74">
        <v>1</v>
      </c>
      <c r="FN49" s="74">
        <v>1</v>
      </c>
      <c r="FO49" s="74">
        <v>1</v>
      </c>
      <c r="FP49" s="74">
        <v>1</v>
      </c>
      <c r="FQ49" s="74">
        <v>1</v>
      </c>
      <c r="FR49" s="74">
        <v>1</v>
      </c>
      <c r="FS49" s="78">
        <v>1</v>
      </c>
      <c r="FT49" s="74">
        <v>1</v>
      </c>
      <c r="FU49" s="74">
        <v>1</v>
      </c>
      <c r="FV49" s="74">
        <v>1</v>
      </c>
      <c r="FW49" s="74">
        <v>1</v>
      </c>
      <c r="FX49" s="74">
        <v>1</v>
      </c>
      <c r="FY49" s="74">
        <v>1</v>
      </c>
      <c r="FZ49" s="74">
        <v>1</v>
      </c>
      <c r="GA49" s="74">
        <v>1</v>
      </c>
      <c r="GB49" s="74">
        <v>1</v>
      </c>
      <c r="GC49" s="74">
        <v>1</v>
      </c>
      <c r="GD49" s="74">
        <v>1</v>
      </c>
      <c r="GE49" s="74">
        <v>1</v>
      </c>
      <c r="GF49" s="74">
        <v>1</v>
      </c>
      <c r="GG49" s="74">
        <v>1</v>
      </c>
      <c r="GH49" s="74">
        <v>1</v>
      </c>
      <c r="GI49" s="74">
        <v>1</v>
      </c>
      <c r="GJ49" s="74">
        <v>1</v>
      </c>
      <c r="GK49" s="74">
        <v>1</v>
      </c>
      <c r="GL49" s="74">
        <v>1</v>
      </c>
      <c r="GM49" s="74">
        <v>1</v>
      </c>
      <c r="GN49" s="74">
        <v>1</v>
      </c>
      <c r="GO49" s="74">
        <v>1</v>
      </c>
      <c r="GP49" s="74">
        <v>1</v>
      </c>
      <c r="GQ49" s="78">
        <v>1</v>
      </c>
      <c r="GR49" s="74">
        <v>1</v>
      </c>
      <c r="GS49" s="74">
        <v>1</v>
      </c>
      <c r="GT49" s="74">
        <v>1</v>
      </c>
      <c r="GU49" s="74">
        <v>1</v>
      </c>
      <c r="GV49" s="74">
        <v>1</v>
      </c>
      <c r="GW49" s="74">
        <v>1</v>
      </c>
      <c r="GX49" s="74">
        <v>1</v>
      </c>
      <c r="GY49" s="74">
        <v>1</v>
      </c>
      <c r="GZ49" s="74">
        <v>1</v>
      </c>
      <c r="HA49" s="74">
        <v>1</v>
      </c>
      <c r="HB49" s="74">
        <v>1</v>
      </c>
      <c r="HC49" s="74">
        <v>1</v>
      </c>
      <c r="HD49" s="74">
        <v>1</v>
      </c>
      <c r="HE49" s="74">
        <v>1</v>
      </c>
      <c r="HF49" s="74">
        <v>1</v>
      </c>
      <c r="HG49" s="74">
        <v>1</v>
      </c>
      <c r="HH49" s="74">
        <v>1</v>
      </c>
      <c r="HI49" s="74">
        <v>1</v>
      </c>
      <c r="HJ49" s="74">
        <v>1</v>
      </c>
      <c r="HK49" s="74">
        <v>1</v>
      </c>
      <c r="HL49" s="74">
        <v>1</v>
      </c>
      <c r="HM49" s="74">
        <v>1</v>
      </c>
      <c r="HN49" s="74">
        <v>1</v>
      </c>
      <c r="HO49" s="74">
        <v>1</v>
      </c>
      <c r="HP49" s="74">
        <v>1</v>
      </c>
      <c r="HQ49" s="74">
        <v>1</v>
      </c>
      <c r="HR49" s="74">
        <v>1</v>
      </c>
      <c r="HS49" s="74">
        <v>1</v>
      </c>
      <c r="HT49" s="74">
        <v>1</v>
      </c>
      <c r="HU49" s="74">
        <v>1</v>
      </c>
      <c r="HV49" s="74">
        <v>1</v>
      </c>
      <c r="HW49" s="74">
        <v>1</v>
      </c>
      <c r="HX49" s="75">
        <v>1</v>
      </c>
    </row>
    <row r="50" spans="1:232" x14ac:dyDescent="0.2">
      <c r="B50" s="80" t="s">
        <v>96</v>
      </c>
      <c r="C50" s="80" t="s">
        <v>132</v>
      </c>
      <c r="D50" s="81">
        <v>5.2</v>
      </c>
      <c r="E50" s="80" t="s">
        <v>127</v>
      </c>
      <c r="F50" s="80" t="s">
        <v>123</v>
      </c>
      <c r="G50" s="78">
        <v>1</v>
      </c>
      <c r="H50" s="74">
        <v>1</v>
      </c>
      <c r="I50" s="74">
        <v>1</v>
      </c>
      <c r="J50" s="74">
        <v>1</v>
      </c>
      <c r="K50" s="74">
        <v>1</v>
      </c>
      <c r="L50" s="74">
        <v>1</v>
      </c>
      <c r="M50" s="74">
        <v>1</v>
      </c>
      <c r="N50" s="74">
        <v>1</v>
      </c>
      <c r="O50" s="74">
        <v>1</v>
      </c>
      <c r="P50" s="74">
        <v>1</v>
      </c>
      <c r="Q50" s="74">
        <v>1</v>
      </c>
      <c r="R50" s="74">
        <v>1</v>
      </c>
      <c r="S50" s="74">
        <v>1</v>
      </c>
      <c r="T50" s="74">
        <v>1</v>
      </c>
      <c r="U50" s="74">
        <v>1</v>
      </c>
      <c r="V50" s="74">
        <v>1</v>
      </c>
      <c r="W50" s="74">
        <v>1</v>
      </c>
      <c r="X50" s="74">
        <v>1</v>
      </c>
      <c r="Y50" s="74">
        <v>1</v>
      </c>
      <c r="Z50" s="74">
        <v>1</v>
      </c>
      <c r="AA50" s="74">
        <v>1</v>
      </c>
      <c r="AB50" s="74">
        <v>1</v>
      </c>
      <c r="AC50" s="74">
        <v>1</v>
      </c>
      <c r="AD50" s="74">
        <v>1</v>
      </c>
      <c r="AE50" s="78">
        <v>1</v>
      </c>
      <c r="AF50" s="74">
        <v>1</v>
      </c>
      <c r="AG50" s="74">
        <v>1</v>
      </c>
      <c r="AH50" s="74">
        <v>1</v>
      </c>
      <c r="AI50" s="74">
        <v>1</v>
      </c>
      <c r="AJ50" s="74">
        <v>1</v>
      </c>
      <c r="AK50" s="74">
        <v>1</v>
      </c>
      <c r="AL50" s="74">
        <v>1</v>
      </c>
      <c r="AM50" s="74">
        <v>1</v>
      </c>
      <c r="AN50" s="74">
        <v>1</v>
      </c>
      <c r="AO50" s="74">
        <v>1</v>
      </c>
      <c r="AP50" s="74">
        <v>1</v>
      </c>
      <c r="AQ50" s="74">
        <v>1</v>
      </c>
      <c r="AR50" s="74">
        <v>1</v>
      </c>
      <c r="AS50" s="74">
        <v>1</v>
      </c>
      <c r="AT50" s="74">
        <v>1</v>
      </c>
      <c r="AU50" s="74">
        <v>1</v>
      </c>
      <c r="AV50" s="74">
        <v>1</v>
      </c>
      <c r="AW50" s="74">
        <v>1</v>
      </c>
      <c r="AX50" s="74">
        <v>1</v>
      </c>
      <c r="AY50" s="74">
        <v>1</v>
      </c>
      <c r="AZ50" s="74">
        <v>1</v>
      </c>
      <c r="BA50" s="74">
        <v>1</v>
      </c>
      <c r="BB50" s="74">
        <v>1</v>
      </c>
      <c r="BC50" s="78">
        <v>1</v>
      </c>
      <c r="BD50" s="74">
        <v>1</v>
      </c>
      <c r="BE50" s="74">
        <v>1</v>
      </c>
      <c r="BF50" s="74">
        <v>1</v>
      </c>
      <c r="BG50" s="74">
        <v>1</v>
      </c>
      <c r="BH50" s="74">
        <v>1</v>
      </c>
      <c r="BI50" s="74">
        <v>1</v>
      </c>
      <c r="BJ50" s="74">
        <v>1</v>
      </c>
      <c r="BK50" s="74">
        <v>1</v>
      </c>
      <c r="BL50" s="74">
        <v>1</v>
      </c>
      <c r="BM50" s="74">
        <v>1</v>
      </c>
      <c r="BN50" s="74">
        <v>1</v>
      </c>
      <c r="BO50" s="74">
        <v>1</v>
      </c>
      <c r="BP50" s="74">
        <v>1</v>
      </c>
      <c r="BQ50" s="74">
        <v>1</v>
      </c>
      <c r="BR50" s="74">
        <v>1</v>
      </c>
      <c r="BS50" s="74">
        <v>1</v>
      </c>
      <c r="BT50" s="74">
        <v>1</v>
      </c>
      <c r="BU50" s="74">
        <v>1</v>
      </c>
      <c r="BV50" s="74">
        <v>1</v>
      </c>
      <c r="BW50" s="74">
        <v>1</v>
      </c>
      <c r="BX50" s="74">
        <v>1</v>
      </c>
      <c r="BY50" s="74">
        <v>1</v>
      </c>
      <c r="BZ50" s="74">
        <v>1</v>
      </c>
      <c r="CA50" s="78">
        <v>1</v>
      </c>
      <c r="CB50" s="74">
        <v>1</v>
      </c>
      <c r="CC50" s="74">
        <v>1</v>
      </c>
      <c r="CD50" s="74">
        <v>1</v>
      </c>
      <c r="CE50" s="74">
        <v>1</v>
      </c>
      <c r="CF50" s="74">
        <v>1</v>
      </c>
      <c r="CG50" s="74">
        <v>1</v>
      </c>
      <c r="CH50" s="74">
        <v>1</v>
      </c>
      <c r="CI50" s="74">
        <v>1</v>
      </c>
      <c r="CJ50" s="74">
        <v>1</v>
      </c>
      <c r="CK50" s="74">
        <v>1</v>
      </c>
      <c r="CL50" s="74">
        <v>1</v>
      </c>
      <c r="CM50" s="74">
        <v>1</v>
      </c>
      <c r="CN50" s="74">
        <v>1</v>
      </c>
      <c r="CO50" s="74">
        <v>1</v>
      </c>
      <c r="CP50" s="74">
        <v>1</v>
      </c>
      <c r="CQ50" s="74">
        <v>1</v>
      </c>
      <c r="CR50" s="74">
        <v>1</v>
      </c>
      <c r="CS50" s="74">
        <v>1</v>
      </c>
      <c r="CT50" s="74">
        <v>1</v>
      </c>
      <c r="CU50" s="74">
        <v>1</v>
      </c>
      <c r="CV50" s="74">
        <v>1</v>
      </c>
      <c r="CW50" s="74">
        <v>1</v>
      </c>
      <c r="CX50" s="74">
        <v>1</v>
      </c>
      <c r="CY50" s="78">
        <v>1</v>
      </c>
      <c r="CZ50" s="74">
        <v>1</v>
      </c>
      <c r="DA50" s="74">
        <v>1</v>
      </c>
      <c r="DB50" s="74">
        <v>1</v>
      </c>
      <c r="DC50" s="74">
        <v>1</v>
      </c>
      <c r="DD50" s="74">
        <v>1</v>
      </c>
      <c r="DE50" s="74">
        <v>1</v>
      </c>
      <c r="DF50" s="74">
        <v>1</v>
      </c>
      <c r="DG50" s="74">
        <v>1</v>
      </c>
      <c r="DH50" s="74">
        <v>1</v>
      </c>
      <c r="DI50" s="74">
        <v>1</v>
      </c>
      <c r="DJ50" s="74">
        <v>1</v>
      </c>
      <c r="DK50" s="74">
        <v>1</v>
      </c>
      <c r="DL50" s="74">
        <v>1</v>
      </c>
      <c r="DM50" s="74">
        <v>1</v>
      </c>
      <c r="DN50" s="74">
        <v>1</v>
      </c>
      <c r="DO50" s="74">
        <v>1</v>
      </c>
      <c r="DP50" s="74">
        <v>1</v>
      </c>
      <c r="DQ50" s="74">
        <v>1</v>
      </c>
      <c r="DR50" s="74">
        <v>1</v>
      </c>
      <c r="DS50" s="74">
        <v>1</v>
      </c>
      <c r="DT50" s="74">
        <v>1</v>
      </c>
      <c r="DU50" s="74">
        <v>1</v>
      </c>
      <c r="DV50" s="74">
        <v>1</v>
      </c>
      <c r="DW50" s="78">
        <v>1</v>
      </c>
      <c r="DX50" s="74">
        <v>1</v>
      </c>
      <c r="DY50" s="74">
        <v>1</v>
      </c>
      <c r="DZ50" s="74">
        <v>1</v>
      </c>
      <c r="EA50" s="74">
        <v>1</v>
      </c>
      <c r="EB50" s="74">
        <v>1</v>
      </c>
      <c r="EC50" s="74">
        <v>1</v>
      </c>
      <c r="ED50" s="74">
        <v>1</v>
      </c>
      <c r="EE50" s="74">
        <v>1</v>
      </c>
      <c r="EF50" s="74">
        <v>1</v>
      </c>
      <c r="EG50" s="74">
        <v>1</v>
      </c>
      <c r="EH50" s="74">
        <v>1</v>
      </c>
      <c r="EI50" s="74">
        <v>1</v>
      </c>
      <c r="EJ50" s="74">
        <v>1</v>
      </c>
      <c r="EK50" s="74">
        <v>1</v>
      </c>
      <c r="EL50" s="74">
        <v>1</v>
      </c>
      <c r="EM50" s="74">
        <v>1</v>
      </c>
      <c r="EN50" s="74">
        <v>1</v>
      </c>
      <c r="EO50" s="74">
        <v>1</v>
      </c>
      <c r="EP50" s="74">
        <v>1</v>
      </c>
      <c r="EQ50" s="74">
        <v>1</v>
      </c>
      <c r="ER50" s="74">
        <v>1</v>
      </c>
      <c r="ES50" s="74">
        <v>1</v>
      </c>
      <c r="ET50" s="74">
        <v>1</v>
      </c>
      <c r="EU50" s="78">
        <v>1</v>
      </c>
      <c r="EV50" s="74">
        <v>1</v>
      </c>
      <c r="EW50" s="74">
        <v>1</v>
      </c>
      <c r="EX50" s="74">
        <v>1</v>
      </c>
      <c r="EY50" s="74">
        <v>1</v>
      </c>
      <c r="EZ50" s="74">
        <v>1</v>
      </c>
      <c r="FA50" s="74">
        <v>1</v>
      </c>
      <c r="FB50" s="74">
        <v>1</v>
      </c>
      <c r="FC50" s="74">
        <v>1</v>
      </c>
      <c r="FD50" s="74">
        <v>1</v>
      </c>
      <c r="FE50" s="74">
        <v>1</v>
      </c>
      <c r="FF50" s="74">
        <v>1</v>
      </c>
      <c r="FG50" s="74">
        <v>1</v>
      </c>
      <c r="FH50" s="74">
        <v>1</v>
      </c>
      <c r="FI50" s="74">
        <v>1</v>
      </c>
      <c r="FJ50" s="74">
        <v>1</v>
      </c>
      <c r="FK50" s="74">
        <v>1</v>
      </c>
      <c r="FL50" s="74">
        <v>1</v>
      </c>
      <c r="FM50" s="74">
        <v>1</v>
      </c>
      <c r="FN50" s="74">
        <v>1</v>
      </c>
      <c r="FO50" s="74">
        <v>1</v>
      </c>
      <c r="FP50" s="74">
        <v>1</v>
      </c>
      <c r="FQ50" s="74">
        <v>1</v>
      </c>
      <c r="FR50" s="74">
        <v>1</v>
      </c>
      <c r="FS50" s="78">
        <v>1</v>
      </c>
      <c r="FT50" s="74">
        <v>1</v>
      </c>
      <c r="FU50" s="74">
        <v>1</v>
      </c>
      <c r="FV50" s="74">
        <v>1</v>
      </c>
      <c r="FW50" s="74">
        <v>1</v>
      </c>
      <c r="FX50" s="74">
        <v>1</v>
      </c>
      <c r="FY50" s="74">
        <v>1</v>
      </c>
      <c r="FZ50" s="74">
        <v>1</v>
      </c>
      <c r="GA50" s="74">
        <v>1</v>
      </c>
      <c r="GB50" s="74">
        <v>1</v>
      </c>
      <c r="GC50" s="74">
        <v>1</v>
      </c>
      <c r="GD50" s="74">
        <v>1</v>
      </c>
      <c r="GE50" s="74">
        <v>1</v>
      </c>
      <c r="GF50" s="74">
        <v>1</v>
      </c>
      <c r="GG50" s="74">
        <v>1</v>
      </c>
      <c r="GH50" s="74">
        <v>1</v>
      </c>
      <c r="GI50" s="74">
        <v>1</v>
      </c>
      <c r="GJ50" s="74">
        <v>1</v>
      </c>
      <c r="GK50" s="74">
        <v>1</v>
      </c>
      <c r="GL50" s="74">
        <v>1</v>
      </c>
      <c r="GM50" s="74">
        <v>1</v>
      </c>
      <c r="GN50" s="74">
        <v>1</v>
      </c>
      <c r="GO50" s="74">
        <v>1</v>
      </c>
      <c r="GP50" s="74">
        <v>1</v>
      </c>
      <c r="GQ50" s="78">
        <v>1</v>
      </c>
      <c r="GR50" s="74">
        <v>1</v>
      </c>
      <c r="GS50" s="74">
        <v>1</v>
      </c>
      <c r="GT50" s="74">
        <v>1</v>
      </c>
      <c r="GU50" s="74">
        <v>1</v>
      </c>
      <c r="GV50" s="74">
        <v>1</v>
      </c>
      <c r="GW50" s="74">
        <v>1</v>
      </c>
      <c r="GX50" s="74">
        <v>1</v>
      </c>
      <c r="GY50" s="74">
        <v>1</v>
      </c>
      <c r="GZ50" s="74">
        <v>1</v>
      </c>
      <c r="HA50" s="74">
        <v>1</v>
      </c>
      <c r="HB50" s="74">
        <v>1</v>
      </c>
      <c r="HC50" s="74">
        <v>1</v>
      </c>
      <c r="HD50" s="74">
        <v>1</v>
      </c>
      <c r="HE50" s="74">
        <v>1</v>
      </c>
      <c r="HF50" s="74">
        <v>1</v>
      </c>
      <c r="HG50" s="74">
        <v>1</v>
      </c>
      <c r="HH50" s="74">
        <v>1</v>
      </c>
      <c r="HI50" s="74">
        <v>1</v>
      </c>
      <c r="HJ50" s="74">
        <v>1</v>
      </c>
      <c r="HK50" s="74">
        <v>1</v>
      </c>
      <c r="HL50" s="74">
        <v>1</v>
      </c>
      <c r="HM50" s="74">
        <v>1</v>
      </c>
      <c r="HN50" s="74">
        <v>1</v>
      </c>
      <c r="HO50" s="74">
        <v>1</v>
      </c>
      <c r="HP50" s="74">
        <v>1</v>
      </c>
      <c r="HQ50" s="74">
        <v>1</v>
      </c>
      <c r="HR50" s="74">
        <v>1</v>
      </c>
      <c r="HS50" s="74">
        <v>1</v>
      </c>
      <c r="HT50" s="74">
        <v>1</v>
      </c>
      <c r="HU50" s="74">
        <v>1</v>
      </c>
      <c r="HV50" s="74">
        <v>1</v>
      </c>
      <c r="HW50" s="74">
        <v>1</v>
      </c>
      <c r="HX50" s="75">
        <v>1</v>
      </c>
    </row>
    <row r="51" spans="1:232" x14ac:dyDescent="0.2">
      <c r="B51" s="80" t="s">
        <v>97</v>
      </c>
      <c r="C51" s="80" t="s">
        <v>132</v>
      </c>
      <c r="D51" s="81">
        <v>5.2</v>
      </c>
      <c r="E51" s="80" t="s">
        <v>127</v>
      </c>
      <c r="F51" s="80" t="s">
        <v>123</v>
      </c>
      <c r="G51" s="78">
        <v>1</v>
      </c>
      <c r="H51" s="74">
        <v>1</v>
      </c>
      <c r="I51" s="74">
        <v>1</v>
      </c>
      <c r="J51" s="74">
        <v>1</v>
      </c>
      <c r="K51" s="74">
        <v>1</v>
      </c>
      <c r="L51" s="74">
        <v>1</v>
      </c>
      <c r="M51" s="74">
        <v>1</v>
      </c>
      <c r="N51" s="74">
        <v>1</v>
      </c>
      <c r="O51" s="74">
        <v>1</v>
      </c>
      <c r="P51" s="74">
        <v>1</v>
      </c>
      <c r="Q51" s="74">
        <v>1</v>
      </c>
      <c r="R51" s="74">
        <v>1</v>
      </c>
      <c r="S51" s="74">
        <v>1</v>
      </c>
      <c r="T51" s="74">
        <v>1</v>
      </c>
      <c r="U51" s="74">
        <v>1</v>
      </c>
      <c r="V51" s="74">
        <v>1</v>
      </c>
      <c r="W51" s="74">
        <v>1</v>
      </c>
      <c r="X51" s="74">
        <v>1</v>
      </c>
      <c r="Y51" s="74">
        <v>1</v>
      </c>
      <c r="Z51" s="74">
        <v>1</v>
      </c>
      <c r="AA51" s="74">
        <v>1</v>
      </c>
      <c r="AB51" s="74">
        <v>1</v>
      </c>
      <c r="AC51" s="74">
        <v>1</v>
      </c>
      <c r="AD51" s="74">
        <v>1</v>
      </c>
      <c r="AE51" s="78">
        <v>1</v>
      </c>
      <c r="AF51" s="74">
        <v>1</v>
      </c>
      <c r="AG51" s="74">
        <v>1</v>
      </c>
      <c r="AH51" s="74">
        <v>1</v>
      </c>
      <c r="AI51" s="74">
        <v>1</v>
      </c>
      <c r="AJ51" s="74">
        <v>1</v>
      </c>
      <c r="AK51" s="74">
        <v>1</v>
      </c>
      <c r="AL51" s="74">
        <v>1</v>
      </c>
      <c r="AM51" s="74">
        <v>1</v>
      </c>
      <c r="AN51" s="74">
        <v>1</v>
      </c>
      <c r="AO51" s="74">
        <v>1</v>
      </c>
      <c r="AP51" s="74">
        <v>1</v>
      </c>
      <c r="AQ51" s="74">
        <v>1</v>
      </c>
      <c r="AR51" s="74">
        <v>1</v>
      </c>
      <c r="AS51" s="74">
        <v>1</v>
      </c>
      <c r="AT51" s="74">
        <v>1</v>
      </c>
      <c r="AU51" s="74">
        <v>1</v>
      </c>
      <c r="AV51" s="74">
        <v>1</v>
      </c>
      <c r="AW51" s="74">
        <v>1</v>
      </c>
      <c r="AX51" s="74">
        <v>1</v>
      </c>
      <c r="AY51" s="74">
        <v>1</v>
      </c>
      <c r="AZ51" s="74">
        <v>1</v>
      </c>
      <c r="BA51" s="74">
        <v>1</v>
      </c>
      <c r="BB51" s="74">
        <v>1</v>
      </c>
      <c r="BC51" s="78">
        <v>1</v>
      </c>
      <c r="BD51" s="74">
        <v>1</v>
      </c>
      <c r="BE51" s="74">
        <v>1</v>
      </c>
      <c r="BF51" s="74">
        <v>1</v>
      </c>
      <c r="BG51" s="74">
        <v>1</v>
      </c>
      <c r="BH51" s="74">
        <v>1</v>
      </c>
      <c r="BI51" s="74">
        <v>1</v>
      </c>
      <c r="BJ51" s="74">
        <v>1</v>
      </c>
      <c r="BK51" s="74">
        <v>1</v>
      </c>
      <c r="BL51" s="74">
        <v>1</v>
      </c>
      <c r="BM51" s="74">
        <v>1</v>
      </c>
      <c r="BN51" s="74">
        <v>1</v>
      </c>
      <c r="BO51" s="74">
        <v>1</v>
      </c>
      <c r="BP51" s="74">
        <v>1</v>
      </c>
      <c r="BQ51" s="74">
        <v>1</v>
      </c>
      <c r="BR51" s="74">
        <v>1</v>
      </c>
      <c r="BS51" s="74">
        <v>1</v>
      </c>
      <c r="BT51" s="74">
        <v>1</v>
      </c>
      <c r="BU51" s="74">
        <v>1</v>
      </c>
      <c r="BV51" s="74">
        <v>1</v>
      </c>
      <c r="BW51" s="74">
        <v>1</v>
      </c>
      <c r="BX51" s="74">
        <v>1</v>
      </c>
      <c r="BY51" s="74">
        <v>1</v>
      </c>
      <c r="BZ51" s="74">
        <v>1</v>
      </c>
      <c r="CA51" s="78">
        <v>1</v>
      </c>
      <c r="CB51" s="74">
        <v>1</v>
      </c>
      <c r="CC51" s="74">
        <v>1</v>
      </c>
      <c r="CD51" s="74">
        <v>1</v>
      </c>
      <c r="CE51" s="74">
        <v>1</v>
      </c>
      <c r="CF51" s="74">
        <v>1</v>
      </c>
      <c r="CG51" s="74">
        <v>1</v>
      </c>
      <c r="CH51" s="74">
        <v>1</v>
      </c>
      <c r="CI51" s="74">
        <v>1</v>
      </c>
      <c r="CJ51" s="74">
        <v>1</v>
      </c>
      <c r="CK51" s="74">
        <v>1</v>
      </c>
      <c r="CL51" s="74">
        <v>1</v>
      </c>
      <c r="CM51" s="74">
        <v>1</v>
      </c>
      <c r="CN51" s="74">
        <v>1</v>
      </c>
      <c r="CO51" s="74">
        <v>1</v>
      </c>
      <c r="CP51" s="74">
        <v>1</v>
      </c>
      <c r="CQ51" s="74">
        <v>1</v>
      </c>
      <c r="CR51" s="74">
        <v>1</v>
      </c>
      <c r="CS51" s="74">
        <v>1</v>
      </c>
      <c r="CT51" s="74">
        <v>1</v>
      </c>
      <c r="CU51" s="74">
        <v>1</v>
      </c>
      <c r="CV51" s="74">
        <v>1</v>
      </c>
      <c r="CW51" s="74">
        <v>1</v>
      </c>
      <c r="CX51" s="74">
        <v>1</v>
      </c>
      <c r="CY51" s="78">
        <v>1</v>
      </c>
      <c r="CZ51" s="74">
        <v>1</v>
      </c>
      <c r="DA51" s="74">
        <v>1</v>
      </c>
      <c r="DB51" s="74">
        <v>1</v>
      </c>
      <c r="DC51" s="74">
        <v>1</v>
      </c>
      <c r="DD51" s="74">
        <v>1</v>
      </c>
      <c r="DE51" s="74">
        <v>1</v>
      </c>
      <c r="DF51" s="74">
        <v>1</v>
      </c>
      <c r="DG51" s="74">
        <v>1</v>
      </c>
      <c r="DH51" s="74">
        <v>1</v>
      </c>
      <c r="DI51" s="74">
        <v>1</v>
      </c>
      <c r="DJ51" s="74">
        <v>1</v>
      </c>
      <c r="DK51" s="74">
        <v>1</v>
      </c>
      <c r="DL51" s="74">
        <v>1</v>
      </c>
      <c r="DM51" s="74">
        <v>1</v>
      </c>
      <c r="DN51" s="74">
        <v>1</v>
      </c>
      <c r="DO51" s="74">
        <v>1</v>
      </c>
      <c r="DP51" s="74">
        <v>1</v>
      </c>
      <c r="DQ51" s="74">
        <v>1</v>
      </c>
      <c r="DR51" s="74">
        <v>1</v>
      </c>
      <c r="DS51" s="74">
        <v>1</v>
      </c>
      <c r="DT51" s="74">
        <v>1</v>
      </c>
      <c r="DU51" s="74">
        <v>1</v>
      </c>
      <c r="DV51" s="74">
        <v>1</v>
      </c>
      <c r="DW51" s="78">
        <v>1</v>
      </c>
      <c r="DX51" s="74">
        <v>1</v>
      </c>
      <c r="DY51" s="74">
        <v>1</v>
      </c>
      <c r="DZ51" s="74">
        <v>1</v>
      </c>
      <c r="EA51" s="74">
        <v>1</v>
      </c>
      <c r="EB51" s="74">
        <v>1</v>
      </c>
      <c r="EC51" s="74">
        <v>1</v>
      </c>
      <c r="ED51" s="74">
        <v>1</v>
      </c>
      <c r="EE51" s="74">
        <v>1</v>
      </c>
      <c r="EF51" s="74">
        <v>1</v>
      </c>
      <c r="EG51" s="74">
        <v>1</v>
      </c>
      <c r="EH51" s="74">
        <v>1</v>
      </c>
      <c r="EI51" s="74">
        <v>1</v>
      </c>
      <c r="EJ51" s="74">
        <v>1</v>
      </c>
      <c r="EK51" s="74">
        <v>1</v>
      </c>
      <c r="EL51" s="74">
        <v>1</v>
      </c>
      <c r="EM51" s="74">
        <v>1</v>
      </c>
      <c r="EN51" s="74">
        <v>1</v>
      </c>
      <c r="EO51" s="74">
        <v>1</v>
      </c>
      <c r="EP51" s="74">
        <v>1</v>
      </c>
      <c r="EQ51" s="74">
        <v>1</v>
      </c>
      <c r="ER51" s="74">
        <v>1</v>
      </c>
      <c r="ES51" s="74">
        <v>1</v>
      </c>
      <c r="ET51" s="74">
        <v>1</v>
      </c>
      <c r="EU51" s="78">
        <v>1</v>
      </c>
      <c r="EV51" s="74">
        <v>1</v>
      </c>
      <c r="EW51" s="74">
        <v>1</v>
      </c>
      <c r="EX51" s="74">
        <v>1</v>
      </c>
      <c r="EY51" s="74">
        <v>1</v>
      </c>
      <c r="EZ51" s="74">
        <v>1</v>
      </c>
      <c r="FA51" s="74">
        <v>1</v>
      </c>
      <c r="FB51" s="74">
        <v>1</v>
      </c>
      <c r="FC51" s="74">
        <v>1</v>
      </c>
      <c r="FD51" s="74">
        <v>1</v>
      </c>
      <c r="FE51" s="74">
        <v>1</v>
      </c>
      <c r="FF51" s="74">
        <v>1</v>
      </c>
      <c r="FG51" s="74">
        <v>1</v>
      </c>
      <c r="FH51" s="74">
        <v>1</v>
      </c>
      <c r="FI51" s="74">
        <v>1</v>
      </c>
      <c r="FJ51" s="74">
        <v>1</v>
      </c>
      <c r="FK51" s="74">
        <v>1</v>
      </c>
      <c r="FL51" s="74">
        <v>1</v>
      </c>
      <c r="FM51" s="74">
        <v>1</v>
      </c>
      <c r="FN51" s="74">
        <v>1</v>
      </c>
      <c r="FO51" s="74">
        <v>1</v>
      </c>
      <c r="FP51" s="74">
        <v>1</v>
      </c>
      <c r="FQ51" s="74">
        <v>1</v>
      </c>
      <c r="FR51" s="74">
        <v>1</v>
      </c>
      <c r="FS51" s="78">
        <v>1</v>
      </c>
      <c r="FT51" s="74">
        <v>1</v>
      </c>
      <c r="FU51" s="74">
        <v>1</v>
      </c>
      <c r="FV51" s="74">
        <v>1</v>
      </c>
      <c r="FW51" s="74">
        <v>1</v>
      </c>
      <c r="FX51" s="74">
        <v>1</v>
      </c>
      <c r="FY51" s="74">
        <v>1</v>
      </c>
      <c r="FZ51" s="74">
        <v>1</v>
      </c>
      <c r="GA51" s="74">
        <v>1</v>
      </c>
      <c r="GB51" s="74">
        <v>1</v>
      </c>
      <c r="GC51" s="74">
        <v>1</v>
      </c>
      <c r="GD51" s="74">
        <v>1</v>
      </c>
      <c r="GE51" s="74">
        <v>1</v>
      </c>
      <c r="GF51" s="74">
        <v>1</v>
      </c>
      <c r="GG51" s="74">
        <v>1</v>
      </c>
      <c r="GH51" s="74">
        <v>1</v>
      </c>
      <c r="GI51" s="74">
        <v>1</v>
      </c>
      <c r="GJ51" s="74">
        <v>1</v>
      </c>
      <c r="GK51" s="74">
        <v>1</v>
      </c>
      <c r="GL51" s="74">
        <v>1</v>
      </c>
      <c r="GM51" s="74">
        <v>1</v>
      </c>
      <c r="GN51" s="74">
        <v>1</v>
      </c>
      <c r="GO51" s="74">
        <v>1</v>
      </c>
      <c r="GP51" s="74">
        <v>1</v>
      </c>
      <c r="GQ51" s="78">
        <v>1</v>
      </c>
      <c r="GR51" s="74">
        <v>1</v>
      </c>
      <c r="GS51" s="74">
        <v>1</v>
      </c>
      <c r="GT51" s="74">
        <v>1</v>
      </c>
      <c r="GU51" s="74">
        <v>1</v>
      </c>
      <c r="GV51" s="74">
        <v>1</v>
      </c>
      <c r="GW51" s="74">
        <v>1</v>
      </c>
      <c r="GX51" s="74">
        <v>1</v>
      </c>
      <c r="GY51" s="74">
        <v>1</v>
      </c>
      <c r="GZ51" s="74">
        <v>1</v>
      </c>
      <c r="HA51" s="74">
        <v>1</v>
      </c>
      <c r="HB51" s="74">
        <v>1</v>
      </c>
      <c r="HC51" s="74">
        <v>1</v>
      </c>
      <c r="HD51" s="74">
        <v>1</v>
      </c>
      <c r="HE51" s="74">
        <v>1</v>
      </c>
      <c r="HF51" s="74">
        <v>1</v>
      </c>
      <c r="HG51" s="74">
        <v>1</v>
      </c>
      <c r="HH51" s="74">
        <v>1</v>
      </c>
      <c r="HI51" s="74">
        <v>1</v>
      </c>
      <c r="HJ51" s="74">
        <v>1</v>
      </c>
      <c r="HK51" s="74">
        <v>1</v>
      </c>
      <c r="HL51" s="74">
        <v>1</v>
      </c>
      <c r="HM51" s="74">
        <v>1</v>
      </c>
      <c r="HN51" s="74">
        <v>1</v>
      </c>
      <c r="HO51" s="74">
        <v>1</v>
      </c>
      <c r="HP51" s="74">
        <v>1</v>
      </c>
      <c r="HQ51" s="74">
        <v>1</v>
      </c>
      <c r="HR51" s="74">
        <v>1</v>
      </c>
      <c r="HS51" s="74">
        <v>1</v>
      </c>
      <c r="HT51" s="74">
        <v>1</v>
      </c>
      <c r="HU51" s="74">
        <v>1</v>
      </c>
      <c r="HV51" s="74">
        <v>1</v>
      </c>
      <c r="HW51" s="74">
        <v>1</v>
      </c>
      <c r="HX51" s="75">
        <v>1</v>
      </c>
    </row>
    <row r="52" spans="1:232" x14ac:dyDescent="0.2">
      <c r="B52" s="80" t="s">
        <v>98</v>
      </c>
      <c r="C52" s="80" t="s">
        <v>132</v>
      </c>
      <c r="D52" s="81">
        <v>5.2</v>
      </c>
      <c r="E52" s="80" t="s">
        <v>127</v>
      </c>
      <c r="F52" s="80" t="s">
        <v>123</v>
      </c>
      <c r="G52" s="78">
        <v>1</v>
      </c>
      <c r="H52" s="74">
        <v>1</v>
      </c>
      <c r="I52" s="74">
        <v>1</v>
      </c>
      <c r="J52" s="74">
        <v>1</v>
      </c>
      <c r="K52" s="74">
        <v>1</v>
      </c>
      <c r="L52" s="74">
        <v>1</v>
      </c>
      <c r="M52" s="74">
        <v>1</v>
      </c>
      <c r="N52" s="74">
        <v>1</v>
      </c>
      <c r="O52" s="74">
        <v>1</v>
      </c>
      <c r="P52" s="74">
        <v>1</v>
      </c>
      <c r="Q52" s="74">
        <v>1</v>
      </c>
      <c r="R52" s="74">
        <v>1</v>
      </c>
      <c r="S52" s="74">
        <v>1</v>
      </c>
      <c r="T52" s="74">
        <v>1</v>
      </c>
      <c r="U52" s="74">
        <v>1</v>
      </c>
      <c r="V52" s="74">
        <v>1</v>
      </c>
      <c r="W52" s="74">
        <v>1</v>
      </c>
      <c r="X52" s="74">
        <v>1</v>
      </c>
      <c r="Y52" s="74">
        <v>1</v>
      </c>
      <c r="Z52" s="74">
        <v>1</v>
      </c>
      <c r="AA52" s="74">
        <v>1</v>
      </c>
      <c r="AB52" s="74">
        <v>1</v>
      </c>
      <c r="AC52" s="74">
        <v>1</v>
      </c>
      <c r="AD52" s="74">
        <v>1</v>
      </c>
      <c r="AE52" s="78">
        <v>1</v>
      </c>
      <c r="AF52" s="74">
        <v>1</v>
      </c>
      <c r="AG52" s="74">
        <v>1</v>
      </c>
      <c r="AH52" s="74">
        <v>1</v>
      </c>
      <c r="AI52" s="74">
        <v>1</v>
      </c>
      <c r="AJ52" s="74">
        <v>1</v>
      </c>
      <c r="AK52" s="74">
        <v>1</v>
      </c>
      <c r="AL52" s="74">
        <v>1</v>
      </c>
      <c r="AM52" s="74">
        <v>1</v>
      </c>
      <c r="AN52" s="74">
        <v>1</v>
      </c>
      <c r="AO52" s="74">
        <v>1</v>
      </c>
      <c r="AP52" s="74">
        <v>1</v>
      </c>
      <c r="AQ52" s="74">
        <v>1</v>
      </c>
      <c r="AR52" s="74">
        <v>1</v>
      </c>
      <c r="AS52" s="74">
        <v>1</v>
      </c>
      <c r="AT52" s="74">
        <v>1</v>
      </c>
      <c r="AU52" s="74">
        <v>1</v>
      </c>
      <c r="AV52" s="74">
        <v>1</v>
      </c>
      <c r="AW52" s="74">
        <v>1</v>
      </c>
      <c r="AX52" s="74">
        <v>1</v>
      </c>
      <c r="AY52" s="74">
        <v>1</v>
      </c>
      <c r="AZ52" s="74">
        <v>1</v>
      </c>
      <c r="BA52" s="74">
        <v>1</v>
      </c>
      <c r="BB52" s="74">
        <v>1</v>
      </c>
      <c r="BC52" s="78">
        <v>1</v>
      </c>
      <c r="BD52" s="74">
        <v>1</v>
      </c>
      <c r="BE52" s="74">
        <v>1</v>
      </c>
      <c r="BF52" s="74">
        <v>1</v>
      </c>
      <c r="BG52" s="74">
        <v>1</v>
      </c>
      <c r="BH52" s="74">
        <v>1</v>
      </c>
      <c r="BI52" s="74">
        <v>1</v>
      </c>
      <c r="BJ52" s="74">
        <v>1</v>
      </c>
      <c r="BK52" s="74">
        <v>1</v>
      </c>
      <c r="BL52" s="74">
        <v>1</v>
      </c>
      <c r="BM52" s="74">
        <v>1</v>
      </c>
      <c r="BN52" s="74">
        <v>1</v>
      </c>
      <c r="BO52" s="74">
        <v>1</v>
      </c>
      <c r="BP52" s="74">
        <v>1</v>
      </c>
      <c r="BQ52" s="74">
        <v>1</v>
      </c>
      <c r="BR52" s="74">
        <v>1</v>
      </c>
      <c r="BS52" s="74">
        <v>1</v>
      </c>
      <c r="BT52" s="74">
        <v>1</v>
      </c>
      <c r="BU52" s="74">
        <v>1</v>
      </c>
      <c r="BV52" s="74">
        <v>1</v>
      </c>
      <c r="BW52" s="74">
        <v>1</v>
      </c>
      <c r="BX52" s="74">
        <v>1</v>
      </c>
      <c r="BY52" s="74">
        <v>1</v>
      </c>
      <c r="BZ52" s="74">
        <v>1</v>
      </c>
      <c r="CA52" s="78">
        <v>1</v>
      </c>
      <c r="CB52" s="74">
        <v>1</v>
      </c>
      <c r="CC52" s="74">
        <v>1</v>
      </c>
      <c r="CD52" s="74">
        <v>1</v>
      </c>
      <c r="CE52" s="74">
        <v>1</v>
      </c>
      <c r="CF52" s="74">
        <v>1</v>
      </c>
      <c r="CG52" s="74">
        <v>1</v>
      </c>
      <c r="CH52" s="74">
        <v>1</v>
      </c>
      <c r="CI52" s="74">
        <v>1</v>
      </c>
      <c r="CJ52" s="74">
        <v>1</v>
      </c>
      <c r="CK52" s="74">
        <v>1</v>
      </c>
      <c r="CL52" s="74">
        <v>1</v>
      </c>
      <c r="CM52" s="74">
        <v>1</v>
      </c>
      <c r="CN52" s="74">
        <v>1</v>
      </c>
      <c r="CO52" s="74">
        <v>1</v>
      </c>
      <c r="CP52" s="74">
        <v>1</v>
      </c>
      <c r="CQ52" s="74">
        <v>1</v>
      </c>
      <c r="CR52" s="74">
        <v>1</v>
      </c>
      <c r="CS52" s="74">
        <v>1</v>
      </c>
      <c r="CT52" s="74">
        <v>1</v>
      </c>
      <c r="CU52" s="74">
        <v>1</v>
      </c>
      <c r="CV52" s="74">
        <v>1</v>
      </c>
      <c r="CW52" s="74">
        <v>1</v>
      </c>
      <c r="CX52" s="74">
        <v>1</v>
      </c>
      <c r="CY52" s="78">
        <v>1</v>
      </c>
      <c r="CZ52" s="74">
        <v>1</v>
      </c>
      <c r="DA52" s="74">
        <v>1</v>
      </c>
      <c r="DB52" s="74">
        <v>1</v>
      </c>
      <c r="DC52" s="74">
        <v>1</v>
      </c>
      <c r="DD52" s="74">
        <v>1</v>
      </c>
      <c r="DE52" s="74">
        <v>1</v>
      </c>
      <c r="DF52" s="74">
        <v>1</v>
      </c>
      <c r="DG52" s="74">
        <v>1</v>
      </c>
      <c r="DH52" s="74">
        <v>1</v>
      </c>
      <c r="DI52" s="74">
        <v>1</v>
      </c>
      <c r="DJ52" s="74">
        <v>1</v>
      </c>
      <c r="DK52" s="74">
        <v>1</v>
      </c>
      <c r="DL52" s="74">
        <v>1</v>
      </c>
      <c r="DM52" s="74">
        <v>1</v>
      </c>
      <c r="DN52" s="74">
        <v>1</v>
      </c>
      <c r="DO52" s="74">
        <v>1</v>
      </c>
      <c r="DP52" s="74">
        <v>1</v>
      </c>
      <c r="DQ52" s="74">
        <v>1</v>
      </c>
      <c r="DR52" s="74">
        <v>1</v>
      </c>
      <c r="DS52" s="74">
        <v>1</v>
      </c>
      <c r="DT52" s="74">
        <v>1</v>
      </c>
      <c r="DU52" s="74">
        <v>1</v>
      </c>
      <c r="DV52" s="74">
        <v>1</v>
      </c>
      <c r="DW52" s="78">
        <v>1</v>
      </c>
      <c r="DX52" s="74">
        <v>1</v>
      </c>
      <c r="DY52" s="74">
        <v>1</v>
      </c>
      <c r="DZ52" s="74">
        <v>1</v>
      </c>
      <c r="EA52" s="74">
        <v>1</v>
      </c>
      <c r="EB52" s="74">
        <v>1</v>
      </c>
      <c r="EC52" s="74">
        <v>1</v>
      </c>
      <c r="ED52" s="74">
        <v>1</v>
      </c>
      <c r="EE52" s="74">
        <v>1</v>
      </c>
      <c r="EF52" s="74">
        <v>1</v>
      </c>
      <c r="EG52" s="74">
        <v>1</v>
      </c>
      <c r="EH52" s="74">
        <v>1</v>
      </c>
      <c r="EI52" s="74">
        <v>1</v>
      </c>
      <c r="EJ52" s="74">
        <v>1</v>
      </c>
      <c r="EK52" s="74">
        <v>1</v>
      </c>
      <c r="EL52" s="74">
        <v>1</v>
      </c>
      <c r="EM52" s="74">
        <v>1</v>
      </c>
      <c r="EN52" s="74">
        <v>1</v>
      </c>
      <c r="EO52" s="74">
        <v>1</v>
      </c>
      <c r="EP52" s="74">
        <v>1</v>
      </c>
      <c r="EQ52" s="74">
        <v>1</v>
      </c>
      <c r="ER52" s="74">
        <v>1</v>
      </c>
      <c r="ES52" s="74">
        <v>1</v>
      </c>
      <c r="ET52" s="74">
        <v>1</v>
      </c>
      <c r="EU52" s="78">
        <v>1</v>
      </c>
      <c r="EV52" s="74">
        <v>1</v>
      </c>
      <c r="EW52" s="74">
        <v>1</v>
      </c>
      <c r="EX52" s="74">
        <v>1</v>
      </c>
      <c r="EY52" s="74">
        <v>1</v>
      </c>
      <c r="EZ52" s="74">
        <v>1</v>
      </c>
      <c r="FA52" s="74">
        <v>1</v>
      </c>
      <c r="FB52" s="74">
        <v>1</v>
      </c>
      <c r="FC52" s="74">
        <v>1</v>
      </c>
      <c r="FD52" s="74">
        <v>1</v>
      </c>
      <c r="FE52" s="74">
        <v>1</v>
      </c>
      <c r="FF52" s="74">
        <v>1</v>
      </c>
      <c r="FG52" s="74">
        <v>1</v>
      </c>
      <c r="FH52" s="74">
        <v>1</v>
      </c>
      <c r="FI52" s="74">
        <v>1</v>
      </c>
      <c r="FJ52" s="74">
        <v>1</v>
      </c>
      <c r="FK52" s="74">
        <v>1</v>
      </c>
      <c r="FL52" s="74">
        <v>1</v>
      </c>
      <c r="FM52" s="74">
        <v>1</v>
      </c>
      <c r="FN52" s="74">
        <v>1</v>
      </c>
      <c r="FO52" s="74">
        <v>1</v>
      </c>
      <c r="FP52" s="74">
        <v>1</v>
      </c>
      <c r="FQ52" s="74">
        <v>1</v>
      </c>
      <c r="FR52" s="74">
        <v>1</v>
      </c>
      <c r="FS52" s="78">
        <v>1</v>
      </c>
      <c r="FT52" s="74">
        <v>1</v>
      </c>
      <c r="FU52" s="74">
        <v>1</v>
      </c>
      <c r="FV52" s="74">
        <v>1</v>
      </c>
      <c r="FW52" s="74">
        <v>1</v>
      </c>
      <c r="FX52" s="74">
        <v>1</v>
      </c>
      <c r="FY52" s="74">
        <v>1</v>
      </c>
      <c r="FZ52" s="74">
        <v>1</v>
      </c>
      <c r="GA52" s="74">
        <v>1</v>
      </c>
      <c r="GB52" s="74">
        <v>1</v>
      </c>
      <c r="GC52" s="74">
        <v>1</v>
      </c>
      <c r="GD52" s="74">
        <v>1</v>
      </c>
      <c r="GE52" s="74">
        <v>1</v>
      </c>
      <c r="GF52" s="74">
        <v>1</v>
      </c>
      <c r="GG52" s="74">
        <v>1</v>
      </c>
      <c r="GH52" s="74">
        <v>1</v>
      </c>
      <c r="GI52" s="74">
        <v>1</v>
      </c>
      <c r="GJ52" s="74">
        <v>1</v>
      </c>
      <c r="GK52" s="74">
        <v>1</v>
      </c>
      <c r="GL52" s="74">
        <v>1</v>
      </c>
      <c r="GM52" s="74">
        <v>1</v>
      </c>
      <c r="GN52" s="74">
        <v>1</v>
      </c>
      <c r="GO52" s="74">
        <v>1</v>
      </c>
      <c r="GP52" s="74">
        <v>1</v>
      </c>
      <c r="GQ52" s="78">
        <v>1</v>
      </c>
      <c r="GR52" s="74">
        <v>1</v>
      </c>
      <c r="GS52" s="74">
        <v>1</v>
      </c>
      <c r="GT52" s="74">
        <v>1</v>
      </c>
      <c r="GU52" s="74">
        <v>1</v>
      </c>
      <c r="GV52" s="74">
        <v>1</v>
      </c>
      <c r="GW52" s="74">
        <v>1</v>
      </c>
      <c r="GX52" s="74">
        <v>1</v>
      </c>
      <c r="GY52" s="74">
        <v>1</v>
      </c>
      <c r="GZ52" s="74">
        <v>1</v>
      </c>
      <c r="HA52" s="74">
        <v>1</v>
      </c>
      <c r="HB52" s="74">
        <v>1</v>
      </c>
      <c r="HC52" s="74">
        <v>1</v>
      </c>
      <c r="HD52" s="74">
        <v>1</v>
      </c>
      <c r="HE52" s="74">
        <v>1</v>
      </c>
      <c r="HF52" s="74">
        <v>1</v>
      </c>
      <c r="HG52" s="74">
        <v>1</v>
      </c>
      <c r="HH52" s="74">
        <v>1</v>
      </c>
      <c r="HI52" s="74">
        <v>1</v>
      </c>
      <c r="HJ52" s="74">
        <v>1</v>
      </c>
      <c r="HK52" s="74">
        <v>1</v>
      </c>
      <c r="HL52" s="74">
        <v>1</v>
      </c>
      <c r="HM52" s="74">
        <v>1</v>
      </c>
      <c r="HN52" s="74">
        <v>1</v>
      </c>
      <c r="HO52" s="74">
        <v>1</v>
      </c>
      <c r="HP52" s="74">
        <v>1</v>
      </c>
      <c r="HQ52" s="74">
        <v>1</v>
      </c>
      <c r="HR52" s="74">
        <v>1</v>
      </c>
      <c r="HS52" s="74">
        <v>1</v>
      </c>
      <c r="HT52" s="74">
        <v>1</v>
      </c>
      <c r="HU52" s="74">
        <v>1</v>
      </c>
      <c r="HV52" s="74">
        <v>1</v>
      </c>
      <c r="HW52" s="74">
        <v>1</v>
      </c>
      <c r="HX52" s="75">
        <v>1</v>
      </c>
    </row>
    <row r="53" spans="1:232" x14ac:dyDescent="0.2">
      <c r="B53" s="80" t="s">
        <v>99</v>
      </c>
      <c r="C53" s="80" t="s">
        <v>132</v>
      </c>
      <c r="D53" s="81">
        <v>5.2</v>
      </c>
      <c r="E53" s="80" t="s">
        <v>127</v>
      </c>
      <c r="F53" s="80" t="s">
        <v>123</v>
      </c>
      <c r="G53" s="78">
        <v>1</v>
      </c>
      <c r="H53" s="74">
        <v>1</v>
      </c>
      <c r="I53" s="74">
        <v>1</v>
      </c>
      <c r="J53" s="74">
        <v>1</v>
      </c>
      <c r="K53" s="74">
        <v>1</v>
      </c>
      <c r="L53" s="74">
        <v>1</v>
      </c>
      <c r="M53" s="74">
        <v>1</v>
      </c>
      <c r="N53" s="74">
        <v>1</v>
      </c>
      <c r="O53" s="74">
        <v>1</v>
      </c>
      <c r="P53" s="74">
        <v>1</v>
      </c>
      <c r="Q53" s="74">
        <v>1</v>
      </c>
      <c r="R53" s="74">
        <v>1</v>
      </c>
      <c r="S53" s="74">
        <v>1</v>
      </c>
      <c r="T53" s="74">
        <v>1</v>
      </c>
      <c r="U53" s="74">
        <v>1</v>
      </c>
      <c r="V53" s="74">
        <v>1</v>
      </c>
      <c r="W53" s="74">
        <v>1</v>
      </c>
      <c r="X53" s="74">
        <v>1</v>
      </c>
      <c r="Y53" s="74">
        <v>1</v>
      </c>
      <c r="Z53" s="74">
        <v>1</v>
      </c>
      <c r="AA53" s="74">
        <v>1</v>
      </c>
      <c r="AB53" s="74">
        <v>1</v>
      </c>
      <c r="AC53" s="74">
        <v>1</v>
      </c>
      <c r="AD53" s="74">
        <v>1</v>
      </c>
      <c r="AE53" s="78">
        <v>1</v>
      </c>
      <c r="AF53" s="74">
        <v>1</v>
      </c>
      <c r="AG53" s="74">
        <v>1</v>
      </c>
      <c r="AH53" s="74">
        <v>1</v>
      </c>
      <c r="AI53" s="74">
        <v>1</v>
      </c>
      <c r="AJ53" s="74">
        <v>1</v>
      </c>
      <c r="AK53" s="74">
        <v>1</v>
      </c>
      <c r="AL53" s="74">
        <v>1</v>
      </c>
      <c r="AM53" s="74">
        <v>1</v>
      </c>
      <c r="AN53" s="74">
        <v>1</v>
      </c>
      <c r="AO53" s="74">
        <v>1</v>
      </c>
      <c r="AP53" s="74">
        <v>1</v>
      </c>
      <c r="AQ53" s="74">
        <v>1</v>
      </c>
      <c r="AR53" s="74">
        <v>1</v>
      </c>
      <c r="AS53" s="74">
        <v>1</v>
      </c>
      <c r="AT53" s="74">
        <v>1</v>
      </c>
      <c r="AU53" s="74">
        <v>1</v>
      </c>
      <c r="AV53" s="74">
        <v>1</v>
      </c>
      <c r="AW53" s="74">
        <v>1</v>
      </c>
      <c r="AX53" s="74">
        <v>1</v>
      </c>
      <c r="AY53" s="74">
        <v>1</v>
      </c>
      <c r="AZ53" s="74">
        <v>1</v>
      </c>
      <c r="BA53" s="74">
        <v>1</v>
      </c>
      <c r="BB53" s="74">
        <v>1</v>
      </c>
      <c r="BC53" s="78">
        <v>1</v>
      </c>
      <c r="BD53" s="74">
        <v>1</v>
      </c>
      <c r="BE53" s="74">
        <v>1</v>
      </c>
      <c r="BF53" s="74">
        <v>1</v>
      </c>
      <c r="BG53" s="74">
        <v>1</v>
      </c>
      <c r="BH53" s="74">
        <v>1</v>
      </c>
      <c r="BI53" s="74">
        <v>1</v>
      </c>
      <c r="BJ53" s="74">
        <v>1</v>
      </c>
      <c r="BK53" s="74">
        <v>1</v>
      </c>
      <c r="BL53" s="74">
        <v>1</v>
      </c>
      <c r="BM53" s="74">
        <v>1</v>
      </c>
      <c r="BN53" s="74">
        <v>1</v>
      </c>
      <c r="BO53" s="74">
        <v>1</v>
      </c>
      <c r="BP53" s="74">
        <v>1</v>
      </c>
      <c r="BQ53" s="74">
        <v>1</v>
      </c>
      <c r="BR53" s="74">
        <v>1</v>
      </c>
      <c r="BS53" s="74">
        <v>1</v>
      </c>
      <c r="BT53" s="74">
        <v>1</v>
      </c>
      <c r="BU53" s="74">
        <v>1</v>
      </c>
      <c r="BV53" s="74">
        <v>1</v>
      </c>
      <c r="BW53" s="74">
        <v>1</v>
      </c>
      <c r="BX53" s="74">
        <v>1</v>
      </c>
      <c r="BY53" s="74">
        <v>1</v>
      </c>
      <c r="BZ53" s="74">
        <v>1</v>
      </c>
      <c r="CA53" s="78">
        <v>1</v>
      </c>
      <c r="CB53" s="74">
        <v>1</v>
      </c>
      <c r="CC53" s="74">
        <v>1</v>
      </c>
      <c r="CD53" s="74">
        <v>1</v>
      </c>
      <c r="CE53" s="74">
        <v>1</v>
      </c>
      <c r="CF53" s="74">
        <v>1</v>
      </c>
      <c r="CG53" s="74">
        <v>1</v>
      </c>
      <c r="CH53" s="74">
        <v>1</v>
      </c>
      <c r="CI53" s="74">
        <v>1</v>
      </c>
      <c r="CJ53" s="74">
        <v>1</v>
      </c>
      <c r="CK53" s="74">
        <v>1</v>
      </c>
      <c r="CL53" s="74">
        <v>1</v>
      </c>
      <c r="CM53" s="74">
        <v>1</v>
      </c>
      <c r="CN53" s="74">
        <v>1</v>
      </c>
      <c r="CO53" s="74">
        <v>1</v>
      </c>
      <c r="CP53" s="74">
        <v>1</v>
      </c>
      <c r="CQ53" s="74">
        <v>1</v>
      </c>
      <c r="CR53" s="74">
        <v>1</v>
      </c>
      <c r="CS53" s="74">
        <v>1</v>
      </c>
      <c r="CT53" s="74">
        <v>1</v>
      </c>
      <c r="CU53" s="74">
        <v>1</v>
      </c>
      <c r="CV53" s="74">
        <v>1</v>
      </c>
      <c r="CW53" s="74">
        <v>1</v>
      </c>
      <c r="CX53" s="74">
        <v>1</v>
      </c>
      <c r="CY53" s="78">
        <v>1</v>
      </c>
      <c r="CZ53" s="74">
        <v>1</v>
      </c>
      <c r="DA53" s="74">
        <v>1</v>
      </c>
      <c r="DB53" s="74">
        <v>1</v>
      </c>
      <c r="DC53" s="74">
        <v>1</v>
      </c>
      <c r="DD53" s="74">
        <v>1</v>
      </c>
      <c r="DE53" s="74">
        <v>1</v>
      </c>
      <c r="DF53" s="74">
        <v>1</v>
      </c>
      <c r="DG53" s="74">
        <v>1</v>
      </c>
      <c r="DH53" s="74">
        <v>1</v>
      </c>
      <c r="DI53" s="74">
        <v>1</v>
      </c>
      <c r="DJ53" s="74">
        <v>1</v>
      </c>
      <c r="DK53" s="74">
        <v>1</v>
      </c>
      <c r="DL53" s="74">
        <v>1</v>
      </c>
      <c r="DM53" s="74">
        <v>1</v>
      </c>
      <c r="DN53" s="74">
        <v>1</v>
      </c>
      <c r="DO53" s="74">
        <v>1</v>
      </c>
      <c r="DP53" s="74">
        <v>1</v>
      </c>
      <c r="DQ53" s="74">
        <v>1</v>
      </c>
      <c r="DR53" s="74">
        <v>1</v>
      </c>
      <c r="DS53" s="74">
        <v>1</v>
      </c>
      <c r="DT53" s="74">
        <v>1</v>
      </c>
      <c r="DU53" s="74">
        <v>1</v>
      </c>
      <c r="DV53" s="74">
        <v>1</v>
      </c>
      <c r="DW53" s="78">
        <v>1</v>
      </c>
      <c r="DX53" s="74">
        <v>1</v>
      </c>
      <c r="DY53" s="74">
        <v>1</v>
      </c>
      <c r="DZ53" s="74">
        <v>1</v>
      </c>
      <c r="EA53" s="74">
        <v>1</v>
      </c>
      <c r="EB53" s="74">
        <v>1</v>
      </c>
      <c r="EC53" s="74">
        <v>1</v>
      </c>
      <c r="ED53" s="74">
        <v>1</v>
      </c>
      <c r="EE53" s="74">
        <v>1</v>
      </c>
      <c r="EF53" s="74">
        <v>1</v>
      </c>
      <c r="EG53" s="74">
        <v>1</v>
      </c>
      <c r="EH53" s="74">
        <v>1</v>
      </c>
      <c r="EI53" s="74">
        <v>1</v>
      </c>
      <c r="EJ53" s="74">
        <v>1</v>
      </c>
      <c r="EK53" s="74">
        <v>1</v>
      </c>
      <c r="EL53" s="74">
        <v>1</v>
      </c>
      <c r="EM53" s="74">
        <v>1</v>
      </c>
      <c r="EN53" s="74">
        <v>1</v>
      </c>
      <c r="EO53" s="74">
        <v>1</v>
      </c>
      <c r="EP53" s="74">
        <v>1</v>
      </c>
      <c r="EQ53" s="74">
        <v>1</v>
      </c>
      <c r="ER53" s="74">
        <v>1</v>
      </c>
      <c r="ES53" s="74">
        <v>1</v>
      </c>
      <c r="ET53" s="74">
        <v>1</v>
      </c>
      <c r="EU53" s="78">
        <v>1</v>
      </c>
      <c r="EV53" s="74">
        <v>1</v>
      </c>
      <c r="EW53" s="74">
        <v>1</v>
      </c>
      <c r="EX53" s="74">
        <v>1</v>
      </c>
      <c r="EY53" s="74">
        <v>1</v>
      </c>
      <c r="EZ53" s="74">
        <v>1</v>
      </c>
      <c r="FA53" s="74">
        <v>1</v>
      </c>
      <c r="FB53" s="74">
        <v>1</v>
      </c>
      <c r="FC53" s="74">
        <v>1</v>
      </c>
      <c r="FD53" s="74">
        <v>1</v>
      </c>
      <c r="FE53" s="74">
        <v>1</v>
      </c>
      <c r="FF53" s="74">
        <v>1</v>
      </c>
      <c r="FG53" s="74">
        <v>1</v>
      </c>
      <c r="FH53" s="74">
        <v>1</v>
      </c>
      <c r="FI53" s="74">
        <v>1</v>
      </c>
      <c r="FJ53" s="74">
        <v>1</v>
      </c>
      <c r="FK53" s="74">
        <v>1</v>
      </c>
      <c r="FL53" s="74">
        <v>1</v>
      </c>
      <c r="FM53" s="74">
        <v>1</v>
      </c>
      <c r="FN53" s="74">
        <v>1</v>
      </c>
      <c r="FO53" s="74">
        <v>1</v>
      </c>
      <c r="FP53" s="74">
        <v>1</v>
      </c>
      <c r="FQ53" s="74">
        <v>1</v>
      </c>
      <c r="FR53" s="74">
        <v>1</v>
      </c>
      <c r="FS53" s="78">
        <v>1</v>
      </c>
      <c r="FT53" s="74">
        <v>1</v>
      </c>
      <c r="FU53" s="74">
        <v>1</v>
      </c>
      <c r="FV53" s="74">
        <v>1</v>
      </c>
      <c r="FW53" s="74">
        <v>1</v>
      </c>
      <c r="FX53" s="74">
        <v>1</v>
      </c>
      <c r="FY53" s="74">
        <v>1</v>
      </c>
      <c r="FZ53" s="74">
        <v>1</v>
      </c>
      <c r="GA53" s="74">
        <v>1</v>
      </c>
      <c r="GB53" s="74">
        <v>1</v>
      </c>
      <c r="GC53" s="74">
        <v>1</v>
      </c>
      <c r="GD53" s="74">
        <v>1</v>
      </c>
      <c r="GE53" s="74">
        <v>1</v>
      </c>
      <c r="GF53" s="74">
        <v>1</v>
      </c>
      <c r="GG53" s="74">
        <v>1</v>
      </c>
      <c r="GH53" s="74">
        <v>1</v>
      </c>
      <c r="GI53" s="74">
        <v>1</v>
      </c>
      <c r="GJ53" s="74">
        <v>1</v>
      </c>
      <c r="GK53" s="74">
        <v>1</v>
      </c>
      <c r="GL53" s="74">
        <v>1</v>
      </c>
      <c r="GM53" s="74">
        <v>1</v>
      </c>
      <c r="GN53" s="74">
        <v>1</v>
      </c>
      <c r="GO53" s="74">
        <v>1</v>
      </c>
      <c r="GP53" s="74">
        <v>1</v>
      </c>
      <c r="GQ53" s="78">
        <v>1</v>
      </c>
      <c r="GR53" s="74">
        <v>1</v>
      </c>
      <c r="GS53" s="74">
        <v>1</v>
      </c>
      <c r="GT53" s="74">
        <v>1</v>
      </c>
      <c r="GU53" s="74">
        <v>1</v>
      </c>
      <c r="GV53" s="74">
        <v>1</v>
      </c>
      <c r="GW53" s="74">
        <v>1</v>
      </c>
      <c r="GX53" s="74">
        <v>1</v>
      </c>
      <c r="GY53" s="74">
        <v>1</v>
      </c>
      <c r="GZ53" s="74">
        <v>1</v>
      </c>
      <c r="HA53" s="74">
        <v>1</v>
      </c>
      <c r="HB53" s="74">
        <v>1</v>
      </c>
      <c r="HC53" s="74">
        <v>1</v>
      </c>
      <c r="HD53" s="74">
        <v>1</v>
      </c>
      <c r="HE53" s="74">
        <v>1</v>
      </c>
      <c r="HF53" s="74">
        <v>1</v>
      </c>
      <c r="HG53" s="74">
        <v>1</v>
      </c>
      <c r="HH53" s="74">
        <v>1</v>
      </c>
      <c r="HI53" s="74">
        <v>1</v>
      </c>
      <c r="HJ53" s="74">
        <v>1</v>
      </c>
      <c r="HK53" s="74">
        <v>1</v>
      </c>
      <c r="HL53" s="74">
        <v>1</v>
      </c>
      <c r="HM53" s="74">
        <v>1</v>
      </c>
      <c r="HN53" s="74">
        <v>1</v>
      </c>
      <c r="HO53" s="74">
        <v>1</v>
      </c>
      <c r="HP53" s="74">
        <v>1</v>
      </c>
      <c r="HQ53" s="74">
        <v>1</v>
      </c>
      <c r="HR53" s="74">
        <v>1</v>
      </c>
      <c r="HS53" s="74">
        <v>1</v>
      </c>
      <c r="HT53" s="74">
        <v>1</v>
      </c>
      <c r="HU53" s="74">
        <v>1</v>
      </c>
      <c r="HV53" s="74">
        <v>1</v>
      </c>
      <c r="HW53" s="74">
        <v>1</v>
      </c>
      <c r="HX53" s="75">
        <v>1</v>
      </c>
    </row>
    <row r="54" spans="1:232" x14ac:dyDescent="0.2">
      <c r="B54" s="80" t="s">
        <v>100</v>
      </c>
      <c r="C54" s="80" t="s">
        <v>132</v>
      </c>
      <c r="D54" s="81">
        <v>5.2</v>
      </c>
      <c r="E54" s="80" t="s">
        <v>127</v>
      </c>
      <c r="F54" s="80" t="s">
        <v>123</v>
      </c>
      <c r="G54" s="78">
        <v>1</v>
      </c>
      <c r="H54" s="74">
        <v>1</v>
      </c>
      <c r="I54" s="74">
        <v>1</v>
      </c>
      <c r="J54" s="74">
        <v>1</v>
      </c>
      <c r="K54" s="74">
        <v>1</v>
      </c>
      <c r="L54" s="74">
        <v>1</v>
      </c>
      <c r="M54" s="74">
        <v>1</v>
      </c>
      <c r="N54" s="74">
        <v>1</v>
      </c>
      <c r="O54" s="74">
        <v>1</v>
      </c>
      <c r="P54" s="74">
        <v>1</v>
      </c>
      <c r="Q54" s="74">
        <v>1</v>
      </c>
      <c r="R54" s="74">
        <v>1</v>
      </c>
      <c r="S54" s="74">
        <v>1</v>
      </c>
      <c r="T54" s="74">
        <v>1</v>
      </c>
      <c r="U54" s="74">
        <v>1</v>
      </c>
      <c r="V54" s="74">
        <v>1</v>
      </c>
      <c r="W54" s="74">
        <v>1</v>
      </c>
      <c r="X54" s="74">
        <v>1</v>
      </c>
      <c r="Y54" s="74">
        <v>1</v>
      </c>
      <c r="Z54" s="74">
        <v>1</v>
      </c>
      <c r="AA54" s="74">
        <v>1</v>
      </c>
      <c r="AB54" s="74">
        <v>1</v>
      </c>
      <c r="AC54" s="74">
        <v>1</v>
      </c>
      <c r="AD54" s="74">
        <v>1</v>
      </c>
      <c r="AE54" s="78">
        <v>1</v>
      </c>
      <c r="AF54" s="74">
        <v>1</v>
      </c>
      <c r="AG54" s="74">
        <v>1</v>
      </c>
      <c r="AH54" s="74">
        <v>1</v>
      </c>
      <c r="AI54" s="74">
        <v>1</v>
      </c>
      <c r="AJ54" s="74">
        <v>1</v>
      </c>
      <c r="AK54" s="74">
        <v>1</v>
      </c>
      <c r="AL54" s="74">
        <v>1</v>
      </c>
      <c r="AM54" s="74">
        <v>1</v>
      </c>
      <c r="AN54" s="74">
        <v>1</v>
      </c>
      <c r="AO54" s="74">
        <v>1</v>
      </c>
      <c r="AP54" s="74">
        <v>1</v>
      </c>
      <c r="AQ54" s="74">
        <v>1</v>
      </c>
      <c r="AR54" s="74">
        <v>1</v>
      </c>
      <c r="AS54" s="74">
        <v>1</v>
      </c>
      <c r="AT54" s="74">
        <v>1</v>
      </c>
      <c r="AU54" s="74">
        <v>1</v>
      </c>
      <c r="AV54" s="74">
        <v>1</v>
      </c>
      <c r="AW54" s="74">
        <v>1</v>
      </c>
      <c r="AX54" s="74">
        <v>1</v>
      </c>
      <c r="AY54" s="74">
        <v>1</v>
      </c>
      <c r="AZ54" s="74">
        <v>1</v>
      </c>
      <c r="BA54" s="74">
        <v>1</v>
      </c>
      <c r="BB54" s="74">
        <v>1</v>
      </c>
      <c r="BC54" s="78">
        <v>1</v>
      </c>
      <c r="BD54" s="74">
        <v>1</v>
      </c>
      <c r="BE54" s="74">
        <v>1</v>
      </c>
      <c r="BF54" s="74">
        <v>1</v>
      </c>
      <c r="BG54" s="74">
        <v>1</v>
      </c>
      <c r="BH54" s="74">
        <v>1</v>
      </c>
      <c r="BI54" s="74">
        <v>1</v>
      </c>
      <c r="BJ54" s="74">
        <v>1</v>
      </c>
      <c r="BK54" s="74">
        <v>1</v>
      </c>
      <c r="BL54" s="74">
        <v>1</v>
      </c>
      <c r="BM54" s="74">
        <v>1</v>
      </c>
      <c r="BN54" s="74">
        <v>1</v>
      </c>
      <c r="BO54" s="74">
        <v>1</v>
      </c>
      <c r="BP54" s="74">
        <v>1</v>
      </c>
      <c r="BQ54" s="74">
        <v>1</v>
      </c>
      <c r="BR54" s="74">
        <v>1</v>
      </c>
      <c r="BS54" s="74">
        <v>1</v>
      </c>
      <c r="BT54" s="74">
        <v>1</v>
      </c>
      <c r="BU54" s="74">
        <v>1</v>
      </c>
      <c r="BV54" s="74">
        <v>1</v>
      </c>
      <c r="BW54" s="74">
        <v>1</v>
      </c>
      <c r="BX54" s="74">
        <v>1</v>
      </c>
      <c r="BY54" s="74">
        <v>1</v>
      </c>
      <c r="BZ54" s="74">
        <v>1</v>
      </c>
      <c r="CA54" s="78">
        <v>1</v>
      </c>
      <c r="CB54" s="74">
        <v>1</v>
      </c>
      <c r="CC54" s="74">
        <v>1</v>
      </c>
      <c r="CD54" s="74">
        <v>1</v>
      </c>
      <c r="CE54" s="74">
        <v>1</v>
      </c>
      <c r="CF54" s="74">
        <v>1</v>
      </c>
      <c r="CG54" s="74">
        <v>1</v>
      </c>
      <c r="CH54" s="74">
        <v>1</v>
      </c>
      <c r="CI54" s="74">
        <v>1</v>
      </c>
      <c r="CJ54" s="74">
        <v>1</v>
      </c>
      <c r="CK54" s="74">
        <v>1</v>
      </c>
      <c r="CL54" s="74">
        <v>1</v>
      </c>
      <c r="CM54" s="74">
        <v>1</v>
      </c>
      <c r="CN54" s="74">
        <v>1</v>
      </c>
      <c r="CO54" s="74">
        <v>1</v>
      </c>
      <c r="CP54" s="74">
        <v>1</v>
      </c>
      <c r="CQ54" s="74">
        <v>1</v>
      </c>
      <c r="CR54" s="74">
        <v>1</v>
      </c>
      <c r="CS54" s="74">
        <v>1</v>
      </c>
      <c r="CT54" s="74">
        <v>1</v>
      </c>
      <c r="CU54" s="74">
        <v>1</v>
      </c>
      <c r="CV54" s="74">
        <v>1</v>
      </c>
      <c r="CW54" s="74">
        <v>1</v>
      </c>
      <c r="CX54" s="74">
        <v>1</v>
      </c>
      <c r="CY54" s="78">
        <v>1</v>
      </c>
      <c r="CZ54" s="74">
        <v>1</v>
      </c>
      <c r="DA54" s="74">
        <v>1</v>
      </c>
      <c r="DB54" s="74">
        <v>1</v>
      </c>
      <c r="DC54" s="74">
        <v>1</v>
      </c>
      <c r="DD54" s="74">
        <v>1</v>
      </c>
      <c r="DE54" s="74">
        <v>1</v>
      </c>
      <c r="DF54" s="74">
        <v>1</v>
      </c>
      <c r="DG54" s="74">
        <v>1</v>
      </c>
      <c r="DH54" s="74">
        <v>1</v>
      </c>
      <c r="DI54" s="74">
        <v>1</v>
      </c>
      <c r="DJ54" s="74">
        <v>1</v>
      </c>
      <c r="DK54" s="74">
        <v>1</v>
      </c>
      <c r="DL54" s="74">
        <v>1</v>
      </c>
      <c r="DM54" s="74">
        <v>1</v>
      </c>
      <c r="DN54" s="74">
        <v>1</v>
      </c>
      <c r="DO54" s="74">
        <v>1</v>
      </c>
      <c r="DP54" s="74">
        <v>1</v>
      </c>
      <c r="DQ54" s="74">
        <v>1</v>
      </c>
      <c r="DR54" s="74">
        <v>1</v>
      </c>
      <c r="DS54" s="74">
        <v>1</v>
      </c>
      <c r="DT54" s="74">
        <v>1</v>
      </c>
      <c r="DU54" s="74">
        <v>1</v>
      </c>
      <c r="DV54" s="74">
        <v>1</v>
      </c>
      <c r="DW54" s="78">
        <v>1</v>
      </c>
      <c r="DX54" s="74">
        <v>1</v>
      </c>
      <c r="DY54" s="74">
        <v>1</v>
      </c>
      <c r="DZ54" s="74">
        <v>1</v>
      </c>
      <c r="EA54" s="74">
        <v>1</v>
      </c>
      <c r="EB54" s="74">
        <v>1</v>
      </c>
      <c r="EC54" s="74">
        <v>1</v>
      </c>
      <c r="ED54" s="74">
        <v>1</v>
      </c>
      <c r="EE54" s="74">
        <v>1</v>
      </c>
      <c r="EF54" s="74">
        <v>1</v>
      </c>
      <c r="EG54" s="74">
        <v>1</v>
      </c>
      <c r="EH54" s="74">
        <v>1</v>
      </c>
      <c r="EI54" s="74">
        <v>1</v>
      </c>
      <c r="EJ54" s="74">
        <v>1</v>
      </c>
      <c r="EK54" s="74">
        <v>1</v>
      </c>
      <c r="EL54" s="74">
        <v>1</v>
      </c>
      <c r="EM54" s="74">
        <v>1</v>
      </c>
      <c r="EN54" s="74">
        <v>1</v>
      </c>
      <c r="EO54" s="74">
        <v>1</v>
      </c>
      <c r="EP54" s="74">
        <v>1</v>
      </c>
      <c r="EQ54" s="74">
        <v>1</v>
      </c>
      <c r="ER54" s="74">
        <v>1</v>
      </c>
      <c r="ES54" s="74">
        <v>1</v>
      </c>
      <c r="ET54" s="74">
        <v>1</v>
      </c>
      <c r="EU54" s="78">
        <v>1</v>
      </c>
      <c r="EV54" s="74">
        <v>1</v>
      </c>
      <c r="EW54" s="74">
        <v>1</v>
      </c>
      <c r="EX54" s="74">
        <v>1</v>
      </c>
      <c r="EY54" s="74">
        <v>1</v>
      </c>
      <c r="EZ54" s="74">
        <v>1</v>
      </c>
      <c r="FA54" s="74">
        <v>1</v>
      </c>
      <c r="FB54" s="74">
        <v>1</v>
      </c>
      <c r="FC54" s="74">
        <v>1</v>
      </c>
      <c r="FD54" s="74">
        <v>1</v>
      </c>
      <c r="FE54" s="74">
        <v>1</v>
      </c>
      <c r="FF54" s="74">
        <v>1</v>
      </c>
      <c r="FG54" s="74">
        <v>1</v>
      </c>
      <c r="FH54" s="74">
        <v>1</v>
      </c>
      <c r="FI54" s="74">
        <v>1</v>
      </c>
      <c r="FJ54" s="74">
        <v>1</v>
      </c>
      <c r="FK54" s="74">
        <v>1</v>
      </c>
      <c r="FL54" s="74">
        <v>1</v>
      </c>
      <c r="FM54" s="74">
        <v>1</v>
      </c>
      <c r="FN54" s="74">
        <v>1</v>
      </c>
      <c r="FO54" s="74">
        <v>1</v>
      </c>
      <c r="FP54" s="74">
        <v>1</v>
      </c>
      <c r="FQ54" s="74">
        <v>1</v>
      </c>
      <c r="FR54" s="74">
        <v>1</v>
      </c>
      <c r="FS54" s="78">
        <v>1</v>
      </c>
      <c r="FT54" s="74">
        <v>1</v>
      </c>
      <c r="FU54" s="74">
        <v>1</v>
      </c>
      <c r="FV54" s="74">
        <v>1</v>
      </c>
      <c r="FW54" s="74">
        <v>1</v>
      </c>
      <c r="FX54" s="74">
        <v>1</v>
      </c>
      <c r="FY54" s="74">
        <v>1</v>
      </c>
      <c r="FZ54" s="74">
        <v>1</v>
      </c>
      <c r="GA54" s="74">
        <v>1</v>
      </c>
      <c r="GB54" s="74">
        <v>1</v>
      </c>
      <c r="GC54" s="74">
        <v>1</v>
      </c>
      <c r="GD54" s="74">
        <v>1</v>
      </c>
      <c r="GE54" s="74">
        <v>1</v>
      </c>
      <c r="GF54" s="74">
        <v>1</v>
      </c>
      <c r="GG54" s="74">
        <v>1</v>
      </c>
      <c r="GH54" s="74">
        <v>1</v>
      </c>
      <c r="GI54" s="74">
        <v>1</v>
      </c>
      <c r="GJ54" s="74">
        <v>1</v>
      </c>
      <c r="GK54" s="74">
        <v>1</v>
      </c>
      <c r="GL54" s="74">
        <v>1</v>
      </c>
      <c r="GM54" s="74">
        <v>1</v>
      </c>
      <c r="GN54" s="74">
        <v>1</v>
      </c>
      <c r="GO54" s="74">
        <v>1</v>
      </c>
      <c r="GP54" s="74">
        <v>1</v>
      </c>
      <c r="GQ54" s="78">
        <v>1</v>
      </c>
      <c r="GR54" s="74">
        <v>1</v>
      </c>
      <c r="GS54" s="74">
        <v>1</v>
      </c>
      <c r="GT54" s="74">
        <v>1</v>
      </c>
      <c r="GU54" s="74">
        <v>1</v>
      </c>
      <c r="GV54" s="74">
        <v>1</v>
      </c>
      <c r="GW54" s="74">
        <v>1</v>
      </c>
      <c r="GX54" s="74">
        <v>1</v>
      </c>
      <c r="GY54" s="74">
        <v>1</v>
      </c>
      <c r="GZ54" s="74">
        <v>1</v>
      </c>
      <c r="HA54" s="74">
        <v>1</v>
      </c>
      <c r="HB54" s="74">
        <v>1</v>
      </c>
      <c r="HC54" s="74">
        <v>1</v>
      </c>
      <c r="HD54" s="74">
        <v>1</v>
      </c>
      <c r="HE54" s="74">
        <v>1</v>
      </c>
      <c r="HF54" s="74">
        <v>1</v>
      </c>
      <c r="HG54" s="74">
        <v>1</v>
      </c>
      <c r="HH54" s="74">
        <v>1</v>
      </c>
      <c r="HI54" s="74">
        <v>1</v>
      </c>
      <c r="HJ54" s="74">
        <v>1</v>
      </c>
      <c r="HK54" s="74">
        <v>1</v>
      </c>
      <c r="HL54" s="74">
        <v>1</v>
      </c>
      <c r="HM54" s="74">
        <v>1</v>
      </c>
      <c r="HN54" s="74">
        <v>1</v>
      </c>
      <c r="HO54" s="74">
        <v>1</v>
      </c>
      <c r="HP54" s="74">
        <v>1</v>
      </c>
      <c r="HQ54" s="74">
        <v>1</v>
      </c>
      <c r="HR54" s="74">
        <v>1</v>
      </c>
      <c r="HS54" s="74">
        <v>1</v>
      </c>
      <c r="HT54" s="74">
        <v>1</v>
      </c>
      <c r="HU54" s="74">
        <v>1</v>
      </c>
      <c r="HV54" s="74">
        <v>1</v>
      </c>
      <c r="HW54" s="74">
        <v>1</v>
      </c>
      <c r="HX54" s="75">
        <v>1</v>
      </c>
    </row>
    <row r="55" spans="1:232" x14ac:dyDescent="0.2">
      <c r="B55" s="80" t="s">
        <v>101</v>
      </c>
      <c r="C55" s="80" t="s">
        <v>132</v>
      </c>
      <c r="D55" s="81">
        <v>5.2</v>
      </c>
      <c r="E55" s="80" t="s">
        <v>127</v>
      </c>
      <c r="F55" s="80" t="s">
        <v>123</v>
      </c>
      <c r="G55" s="78">
        <v>1</v>
      </c>
      <c r="H55" s="74">
        <v>1</v>
      </c>
      <c r="I55" s="74">
        <v>1</v>
      </c>
      <c r="J55" s="74">
        <v>1</v>
      </c>
      <c r="K55" s="74">
        <v>1</v>
      </c>
      <c r="L55" s="74">
        <v>1</v>
      </c>
      <c r="M55" s="74">
        <v>1</v>
      </c>
      <c r="N55" s="74">
        <v>1</v>
      </c>
      <c r="O55" s="74">
        <v>1</v>
      </c>
      <c r="P55" s="74">
        <v>1</v>
      </c>
      <c r="Q55" s="74">
        <v>1</v>
      </c>
      <c r="R55" s="74">
        <v>1</v>
      </c>
      <c r="S55" s="74">
        <v>1</v>
      </c>
      <c r="T55" s="74">
        <v>1</v>
      </c>
      <c r="U55" s="74">
        <v>1</v>
      </c>
      <c r="V55" s="74">
        <v>1</v>
      </c>
      <c r="W55" s="74">
        <v>1</v>
      </c>
      <c r="X55" s="74">
        <v>1</v>
      </c>
      <c r="Y55" s="74">
        <v>1</v>
      </c>
      <c r="Z55" s="74">
        <v>1</v>
      </c>
      <c r="AA55" s="74">
        <v>1</v>
      </c>
      <c r="AB55" s="74">
        <v>1</v>
      </c>
      <c r="AC55" s="74">
        <v>1</v>
      </c>
      <c r="AD55" s="74">
        <v>1</v>
      </c>
      <c r="AE55" s="78">
        <v>1</v>
      </c>
      <c r="AF55" s="74">
        <v>1</v>
      </c>
      <c r="AG55" s="74">
        <v>1</v>
      </c>
      <c r="AH55" s="74">
        <v>1</v>
      </c>
      <c r="AI55" s="74">
        <v>1</v>
      </c>
      <c r="AJ55" s="74">
        <v>1</v>
      </c>
      <c r="AK55" s="74">
        <v>1</v>
      </c>
      <c r="AL55" s="74">
        <v>1</v>
      </c>
      <c r="AM55" s="74">
        <v>1</v>
      </c>
      <c r="AN55" s="74">
        <v>1</v>
      </c>
      <c r="AO55" s="74">
        <v>1</v>
      </c>
      <c r="AP55" s="74">
        <v>1</v>
      </c>
      <c r="AQ55" s="74">
        <v>1</v>
      </c>
      <c r="AR55" s="74">
        <v>1</v>
      </c>
      <c r="AS55" s="74">
        <v>1</v>
      </c>
      <c r="AT55" s="74">
        <v>1</v>
      </c>
      <c r="AU55" s="74">
        <v>1</v>
      </c>
      <c r="AV55" s="74">
        <v>1</v>
      </c>
      <c r="AW55" s="74">
        <v>1</v>
      </c>
      <c r="AX55" s="74">
        <v>1</v>
      </c>
      <c r="AY55" s="74">
        <v>1</v>
      </c>
      <c r="AZ55" s="74">
        <v>1</v>
      </c>
      <c r="BA55" s="74">
        <v>1</v>
      </c>
      <c r="BB55" s="74">
        <v>1</v>
      </c>
      <c r="BC55" s="78">
        <v>1</v>
      </c>
      <c r="BD55" s="74">
        <v>1</v>
      </c>
      <c r="BE55" s="74">
        <v>1</v>
      </c>
      <c r="BF55" s="74">
        <v>1</v>
      </c>
      <c r="BG55" s="74">
        <v>1</v>
      </c>
      <c r="BH55" s="74">
        <v>1</v>
      </c>
      <c r="BI55" s="74">
        <v>1</v>
      </c>
      <c r="BJ55" s="74">
        <v>1</v>
      </c>
      <c r="BK55" s="74">
        <v>1</v>
      </c>
      <c r="BL55" s="74">
        <v>1</v>
      </c>
      <c r="BM55" s="74">
        <v>1</v>
      </c>
      <c r="BN55" s="74">
        <v>1</v>
      </c>
      <c r="BO55" s="74">
        <v>1</v>
      </c>
      <c r="BP55" s="74">
        <v>1</v>
      </c>
      <c r="BQ55" s="74">
        <v>1</v>
      </c>
      <c r="BR55" s="74">
        <v>1</v>
      </c>
      <c r="BS55" s="74">
        <v>1</v>
      </c>
      <c r="BT55" s="74">
        <v>1</v>
      </c>
      <c r="BU55" s="74">
        <v>1</v>
      </c>
      <c r="BV55" s="74">
        <v>1</v>
      </c>
      <c r="BW55" s="74">
        <v>1</v>
      </c>
      <c r="BX55" s="74">
        <v>1</v>
      </c>
      <c r="BY55" s="74">
        <v>1</v>
      </c>
      <c r="BZ55" s="74">
        <v>1</v>
      </c>
      <c r="CA55" s="78">
        <v>1</v>
      </c>
      <c r="CB55" s="74">
        <v>1</v>
      </c>
      <c r="CC55" s="74">
        <v>1</v>
      </c>
      <c r="CD55" s="74">
        <v>1</v>
      </c>
      <c r="CE55" s="74">
        <v>1</v>
      </c>
      <c r="CF55" s="74">
        <v>1</v>
      </c>
      <c r="CG55" s="74">
        <v>1</v>
      </c>
      <c r="CH55" s="74">
        <v>1</v>
      </c>
      <c r="CI55" s="74">
        <v>1</v>
      </c>
      <c r="CJ55" s="74">
        <v>1</v>
      </c>
      <c r="CK55" s="74">
        <v>1</v>
      </c>
      <c r="CL55" s="74">
        <v>1</v>
      </c>
      <c r="CM55" s="74">
        <v>1</v>
      </c>
      <c r="CN55" s="74">
        <v>1</v>
      </c>
      <c r="CO55" s="74">
        <v>1</v>
      </c>
      <c r="CP55" s="74">
        <v>1</v>
      </c>
      <c r="CQ55" s="74">
        <v>1</v>
      </c>
      <c r="CR55" s="74">
        <v>1</v>
      </c>
      <c r="CS55" s="74">
        <v>1</v>
      </c>
      <c r="CT55" s="74">
        <v>1</v>
      </c>
      <c r="CU55" s="74">
        <v>1</v>
      </c>
      <c r="CV55" s="74">
        <v>1</v>
      </c>
      <c r="CW55" s="74">
        <v>1</v>
      </c>
      <c r="CX55" s="74">
        <v>1</v>
      </c>
      <c r="CY55" s="78">
        <v>1</v>
      </c>
      <c r="CZ55" s="74">
        <v>1</v>
      </c>
      <c r="DA55" s="74">
        <v>1</v>
      </c>
      <c r="DB55" s="74">
        <v>1</v>
      </c>
      <c r="DC55" s="74">
        <v>1</v>
      </c>
      <c r="DD55" s="74">
        <v>1</v>
      </c>
      <c r="DE55" s="74">
        <v>1</v>
      </c>
      <c r="DF55" s="74">
        <v>1</v>
      </c>
      <c r="DG55" s="74">
        <v>1</v>
      </c>
      <c r="DH55" s="74">
        <v>1</v>
      </c>
      <c r="DI55" s="74">
        <v>1</v>
      </c>
      <c r="DJ55" s="74">
        <v>1</v>
      </c>
      <c r="DK55" s="74">
        <v>1</v>
      </c>
      <c r="DL55" s="74">
        <v>1</v>
      </c>
      <c r="DM55" s="74">
        <v>1</v>
      </c>
      <c r="DN55" s="74">
        <v>1</v>
      </c>
      <c r="DO55" s="74">
        <v>1</v>
      </c>
      <c r="DP55" s="74">
        <v>1</v>
      </c>
      <c r="DQ55" s="74">
        <v>1</v>
      </c>
      <c r="DR55" s="74">
        <v>1</v>
      </c>
      <c r="DS55" s="74">
        <v>1</v>
      </c>
      <c r="DT55" s="74">
        <v>1</v>
      </c>
      <c r="DU55" s="74">
        <v>1</v>
      </c>
      <c r="DV55" s="74">
        <v>1</v>
      </c>
      <c r="DW55" s="78">
        <v>1</v>
      </c>
      <c r="DX55" s="74">
        <v>1</v>
      </c>
      <c r="DY55" s="74">
        <v>1</v>
      </c>
      <c r="DZ55" s="74">
        <v>1</v>
      </c>
      <c r="EA55" s="74">
        <v>1</v>
      </c>
      <c r="EB55" s="74">
        <v>1</v>
      </c>
      <c r="EC55" s="74">
        <v>1</v>
      </c>
      <c r="ED55" s="74">
        <v>1</v>
      </c>
      <c r="EE55" s="74">
        <v>1</v>
      </c>
      <c r="EF55" s="74">
        <v>1</v>
      </c>
      <c r="EG55" s="74">
        <v>1</v>
      </c>
      <c r="EH55" s="74">
        <v>1</v>
      </c>
      <c r="EI55" s="74">
        <v>1</v>
      </c>
      <c r="EJ55" s="74">
        <v>1</v>
      </c>
      <c r="EK55" s="74">
        <v>1</v>
      </c>
      <c r="EL55" s="74">
        <v>1</v>
      </c>
      <c r="EM55" s="74">
        <v>1</v>
      </c>
      <c r="EN55" s="74">
        <v>1</v>
      </c>
      <c r="EO55" s="74">
        <v>1</v>
      </c>
      <c r="EP55" s="74">
        <v>1</v>
      </c>
      <c r="EQ55" s="74">
        <v>1</v>
      </c>
      <c r="ER55" s="74">
        <v>1</v>
      </c>
      <c r="ES55" s="74">
        <v>1</v>
      </c>
      <c r="ET55" s="74">
        <v>1</v>
      </c>
      <c r="EU55" s="78">
        <v>1</v>
      </c>
      <c r="EV55" s="74">
        <v>1</v>
      </c>
      <c r="EW55" s="74">
        <v>1</v>
      </c>
      <c r="EX55" s="74">
        <v>1</v>
      </c>
      <c r="EY55" s="74">
        <v>1</v>
      </c>
      <c r="EZ55" s="74">
        <v>1</v>
      </c>
      <c r="FA55" s="74">
        <v>1</v>
      </c>
      <c r="FB55" s="74">
        <v>1</v>
      </c>
      <c r="FC55" s="74">
        <v>1</v>
      </c>
      <c r="FD55" s="74">
        <v>1</v>
      </c>
      <c r="FE55" s="74">
        <v>1</v>
      </c>
      <c r="FF55" s="74">
        <v>1</v>
      </c>
      <c r="FG55" s="74">
        <v>1</v>
      </c>
      <c r="FH55" s="74">
        <v>1</v>
      </c>
      <c r="FI55" s="74">
        <v>1</v>
      </c>
      <c r="FJ55" s="74">
        <v>1</v>
      </c>
      <c r="FK55" s="74">
        <v>1</v>
      </c>
      <c r="FL55" s="74">
        <v>1</v>
      </c>
      <c r="FM55" s="74">
        <v>1</v>
      </c>
      <c r="FN55" s="74">
        <v>1</v>
      </c>
      <c r="FO55" s="74">
        <v>1</v>
      </c>
      <c r="FP55" s="74">
        <v>1</v>
      </c>
      <c r="FQ55" s="74">
        <v>1</v>
      </c>
      <c r="FR55" s="74">
        <v>1</v>
      </c>
      <c r="FS55" s="78">
        <v>1</v>
      </c>
      <c r="FT55" s="74">
        <v>1</v>
      </c>
      <c r="FU55" s="74">
        <v>1</v>
      </c>
      <c r="FV55" s="74">
        <v>1</v>
      </c>
      <c r="FW55" s="74">
        <v>1</v>
      </c>
      <c r="FX55" s="74">
        <v>1</v>
      </c>
      <c r="FY55" s="74">
        <v>1</v>
      </c>
      <c r="FZ55" s="74">
        <v>1</v>
      </c>
      <c r="GA55" s="74">
        <v>1</v>
      </c>
      <c r="GB55" s="74">
        <v>1</v>
      </c>
      <c r="GC55" s="74">
        <v>1</v>
      </c>
      <c r="GD55" s="74">
        <v>1</v>
      </c>
      <c r="GE55" s="74">
        <v>1</v>
      </c>
      <c r="GF55" s="74">
        <v>1</v>
      </c>
      <c r="GG55" s="74">
        <v>1</v>
      </c>
      <c r="GH55" s="74">
        <v>1</v>
      </c>
      <c r="GI55" s="74">
        <v>1</v>
      </c>
      <c r="GJ55" s="74">
        <v>1</v>
      </c>
      <c r="GK55" s="74">
        <v>1</v>
      </c>
      <c r="GL55" s="74">
        <v>1</v>
      </c>
      <c r="GM55" s="74">
        <v>1</v>
      </c>
      <c r="GN55" s="74">
        <v>1</v>
      </c>
      <c r="GO55" s="74">
        <v>1</v>
      </c>
      <c r="GP55" s="74">
        <v>1</v>
      </c>
      <c r="GQ55" s="78">
        <v>1</v>
      </c>
      <c r="GR55" s="74">
        <v>1</v>
      </c>
      <c r="GS55" s="74">
        <v>1</v>
      </c>
      <c r="GT55" s="74">
        <v>1</v>
      </c>
      <c r="GU55" s="74">
        <v>1</v>
      </c>
      <c r="GV55" s="74">
        <v>1</v>
      </c>
      <c r="GW55" s="74">
        <v>1</v>
      </c>
      <c r="GX55" s="74">
        <v>1</v>
      </c>
      <c r="GY55" s="74">
        <v>1</v>
      </c>
      <c r="GZ55" s="74">
        <v>1</v>
      </c>
      <c r="HA55" s="74">
        <v>1</v>
      </c>
      <c r="HB55" s="74">
        <v>1</v>
      </c>
      <c r="HC55" s="74">
        <v>1</v>
      </c>
      <c r="HD55" s="74">
        <v>1</v>
      </c>
      <c r="HE55" s="74">
        <v>1</v>
      </c>
      <c r="HF55" s="74">
        <v>1</v>
      </c>
      <c r="HG55" s="74">
        <v>1</v>
      </c>
      <c r="HH55" s="74">
        <v>1</v>
      </c>
      <c r="HI55" s="74">
        <v>1</v>
      </c>
      <c r="HJ55" s="74">
        <v>1</v>
      </c>
      <c r="HK55" s="74">
        <v>1</v>
      </c>
      <c r="HL55" s="74">
        <v>1</v>
      </c>
      <c r="HM55" s="74">
        <v>1</v>
      </c>
      <c r="HN55" s="74">
        <v>1</v>
      </c>
      <c r="HO55" s="74">
        <v>1</v>
      </c>
      <c r="HP55" s="74">
        <v>1</v>
      </c>
      <c r="HQ55" s="74">
        <v>1</v>
      </c>
      <c r="HR55" s="74">
        <v>1</v>
      </c>
      <c r="HS55" s="74">
        <v>1</v>
      </c>
      <c r="HT55" s="74">
        <v>1</v>
      </c>
      <c r="HU55" s="74">
        <v>1</v>
      </c>
      <c r="HV55" s="74">
        <v>1</v>
      </c>
      <c r="HW55" s="74">
        <v>1</v>
      </c>
      <c r="HX55" s="75">
        <v>1</v>
      </c>
    </row>
    <row r="56" spans="1:232" x14ac:dyDescent="0.2">
      <c r="B56" s="80" t="s">
        <v>102</v>
      </c>
      <c r="C56" s="80" t="s">
        <v>132</v>
      </c>
      <c r="D56" s="81">
        <v>5.2</v>
      </c>
      <c r="E56" s="80" t="s">
        <v>127</v>
      </c>
      <c r="F56" s="80" t="s">
        <v>123</v>
      </c>
      <c r="G56" s="78">
        <v>1</v>
      </c>
      <c r="H56" s="74">
        <v>1</v>
      </c>
      <c r="I56" s="74">
        <v>1</v>
      </c>
      <c r="J56" s="74">
        <v>1</v>
      </c>
      <c r="K56" s="74">
        <v>1</v>
      </c>
      <c r="L56" s="74">
        <v>1</v>
      </c>
      <c r="M56" s="74">
        <v>1</v>
      </c>
      <c r="N56" s="74">
        <v>1</v>
      </c>
      <c r="O56" s="74">
        <v>1</v>
      </c>
      <c r="P56" s="74">
        <v>1</v>
      </c>
      <c r="Q56" s="74">
        <v>1</v>
      </c>
      <c r="R56" s="74">
        <v>1</v>
      </c>
      <c r="S56" s="74">
        <v>1</v>
      </c>
      <c r="T56" s="74">
        <v>1</v>
      </c>
      <c r="U56" s="74">
        <v>1</v>
      </c>
      <c r="V56" s="74">
        <v>1</v>
      </c>
      <c r="W56" s="74">
        <v>1</v>
      </c>
      <c r="X56" s="74">
        <v>1</v>
      </c>
      <c r="Y56" s="74">
        <v>1</v>
      </c>
      <c r="Z56" s="74">
        <v>1</v>
      </c>
      <c r="AA56" s="74">
        <v>1</v>
      </c>
      <c r="AB56" s="74">
        <v>1</v>
      </c>
      <c r="AC56" s="74">
        <v>1</v>
      </c>
      <c r="AD56" s="74">
        <v>1</v>
      </c>
      <c r="AE56" s="78">
        <v>1</v>
      </c>
      <c r="AF56" s="74">
        <v>1</v>
      </c>
      <c r="AG56" s="74">
        <v>1</v>
      </c>
      <c r="AH56" s="74">
        <v>1</v>
      </c>
      <c r="AI56" s="74">
        <v>1</v>
      </c>
      <c r="AJ56" s="74">
        <v>1</v>
      </c>
      <c r="AK56" s="74">
        <v>1</v>
      </c>
      <c r="AL56" s="74">
        <v>1</v>
      </c>
      <c r="AM56" s="74">
        <v>1</v>
      </c>
      <c r="AN56" s="74">
        <v>1</v>
      </c>
      <c r="AO56" s="74">
        <v>1</v>
      </c>
      <c r="AP56" s="74">
        <v>1</v>
      </c>
      <c r="AQ56" s="74">
        <v>1</v>
      </c>
      <c r="AR56" s="74">
        <v>1</v>
      </c>
      <c r="AS56" s="74">
        <v>1</v>
      </c>
      <c r="AT56" s="74">
        <v>1</v>
      </c>
      <c r="AU56" s="74">
        <v>1</v>
      </c>
      <c r="AV56" s="74">
        <v>1</v>
      </c>
      <c r="AW56" s="74">
        <v>1</v>
      </c>
      <c r="AX56" s="74">
        <v>1</v>
      </c>
      <c r="AY56" s="74">
        <v>1</v>
      </c>
      <c r="AZ56" s="74">
        <v>1</v>
      </c>
      <c r="BA56" s="74">
        <v>1</v>
      </c>
      <c r="BB56" s="74">
        <v>1</v>
      </c>
      <c r="BC56" s="78">
        <v>1</v>
      </c>
      <c r="BD56" s="74">
        <v>1</v>
      </c>
      <c r="BE56" s="74">
        <v>1</v>
      </c>
      <c r="BF56" s="74">
        <v>1</v>
      </c>
      <c r="BG56" s="74">
        <v>1</v>
      </c>
      <c r="BH56" s="74">
        <v>1</v>
      </c>
      <c r="BI56" s="74">
        <v>1</v>
      </c>
      <c r="BJ56" s="74">
        <v>1</v>
      </c>
      <c r="BK56" s="74">
        <v>1</v>
      </c>
      <c r="BL56" s="74">
        <v>1</v>
      </c>
      <c r="BM56" s="74">
        <v>1</v>
      </c>
      <c r="BN56" s="74">
        <v>1</v>
      </c>
      <c r="BO56" s="74">
        <v>1</v>
      </c>
      <c r="BP56" s="74">
        <v>1</v>
      </c>
      <c r="BQ56" s="74">
        <v>1</v>
      </c>
      <c r="BR56" s="74">
        <v>1</v>
      </c>
      <c r="BS56" s="74">
        <v>1</v>
      </c>
      <c r="BT56" s="74">
        <v>1</v>
      </c>
      <c r="BU56" s="74">
        <v>1</v>
      </c>
      <c r="BV56" s="74">
        <v>1</v>
      </c>
      <c r="BW56" s="74">
        <v>1</v>
      </c>
      <c r="BX56" s="74">
        <v>1</v>
      </c>
      <c r="BY56" s="74">
        <v>1</v>
      </c>
      <c r="BZ56" s="74">
        <v>1</v>
      </c>
      <c r="CA56" s="78">
        <v>1</v>
      </c>
      <c r="CB56" s="74">
        <v>1</v>
      </c>
      <c r="CC56" s="74">
        <v>1</v>
      </c>
      <c r="CD56" s="74">
        <v>1</v>
      </c>
      <c r="CE56" s="74">
        <v>1</v>
      </c>
      <c r="CF56" s="74">
        <v>1</v>
      </c>
      <c r="CG56" s="74">
        <v>1</v>
      </c>
      <c r="CH56" s="74">
        <v>1</v>
      </c>
      <c r="CI56" s="74">
        <v>1</v>
      </c>
      <c r="CJ56" s="74">
        <v>1</v>
      </c>
      <c r="CK56" s="74">
        <v>1</v>
      </c>
      <c r="CL56" s="74">
        <v>1</v>
      </c>
      <c r="CM56" s="74">
        <v>1</v>
      </c>
      <c r="CN56" s="74">
        <v>1</v>
      </c>
      <c r="CO56" s="74">
        <v>1</v>
      </c>
      <c r="CP56" s="74">
        <v>1</v>
      </c>
      <c r="CQ56" s="74">
        <v>1</v>
      </c>
      <c r="CR56" s="74">
        <v>1</v>
      </c>
      <c r="CS56" s="74">
        <v>1</v>
      </c>
      <c r="CT56" s="74">
        <v>1</v>
      </c>
      <c r="CU56" s="74">
        <v>1</v>
      </c>
      <c r="CV56" s="74">
        <v>1</v>
      </c>
      <c r="CW56" s="74">
        <v>1</v>
      </c>
      <c r="CX56" s="74">
        <v>1</v>
      </c>
      <c r="CY56" s="78">
        <v>1</v>
      </c>
      <c r="CZ56" s="74">
        <v>1</v>
      </c>
      <c r="DA56" s="74">
        <v>1</v>
      </c>
      <c r="DB56" s="74">
        <v>1</v>
      </c>
      <c r="DC56" s="74">
        <v>1</v>
      </c>
      <c r="DD56" s="74">
        <v>1</v>
      </c>
      <c r="DE56" s="74">
        <v>1</v>
      </c>
      <c r="DF56" s="74">
        <v>1</v>
      </c>
      <c r="DG56" s="74">
        <v>1</v>
      </c>
      <c r="DH56" s="74">
        <v>1</v>
      </c>
      <c r="DI56" s="74">
        <v>1</v>
      </c>
      <c r="DJ56" s="74">
        <v>1</v>
      </c>
      <c r="DK56" s="74">
        <v>1</v>
      </c>
      <c r="DL56" s="74">
        <v>1</v>
      </c>
      <c r="DM56" s="74">
        <v>1</v>
      </c>
      <c r="DN56" s="74">
        <v>1</v>
      </c>
      <c r="DO56" s="74">
        <v>1</v>
      </c>
      <c r="DP56" s="74">
        <v>1</v>
      </c>
      <c r="DQ56" s="74">
        <v>1</v>
      </c>
      <c r="DR56" s="74">
        <v>1</v>
      </c>
      <c r="DS56" s="74">
        <v>1</v>
      </c>
      <c r="DT56" s="74">
        <v>1</v>
      </c>
      <c r="DU56" s="74">
        <v>1</v>
      </c>
      <c r="DV56" s="74">
        <v>1</v>
      </c>
      <c r="DW56" s="78">
        <v>1</v>
      </c>
      <c r="DX56" s="74">
        <v>1</v>
      </c>
      <c r="DY56" s="74">
        <v>1</v>
      </c>
      <c r="DZ56" s="74">
        <v>1</v>
      </c>
      <c r="EA56" s="74">
        <v>1</v>
      </c>
      <c r="EB56" s="74">
        <v>1</v>
      </c>
      <c r="EC56" s="74">
        <v>1</v>
      </c>
      <c r="ED56" s="74">
        <v>1</v>
      </c>
      <c r="EE56" s="74">
        <v>1</v>
      </c>
      <c r="EF56" s="74">
        <v>1</v>
      </c>
      <c r="EG56" s="74">
        <v>1</v>
      </c>
      <c r="EH56" s="74">
        <v>1</v>
      </c>
      <c r="EI56" s="74">
        <v>1</v>
      </c>
      <c r="EJ56" s="74">
        <v>1</v>
      </c>
      <c r="EK56" s="74">
        <v>1</v>
      </c>
      <c r="EL56" s="74">
        <v>1</v>
      </c>
      <c r="EM56" s="74">
        <v>1</v>
      </c>
      <c r="EN56" s="74">
        <v>1</v>
      </c>
      <c r="EO56" s="74">
        <v>1</v>
      </c>
      <c r="EP56" s="74">
        <v>1</v>
      </c>
      <c r="EQ56" s="74">
        <v>1</v>
      </c>
      <c r="ER56" s="74">
        <v>1</v>
      </c>
      <c r="ES56" s="74">
        <v>1</v>
      </c>
      <c r="ET56" s="74">
        <v>1</v>
      </c>
      <c r="EU56" s="78">
        <v>1</v>
      </c>
      <c r="EV56" s="74">
        <v>1</v>
      </c>
      <c r="EW56" s="74">
        <v>1</v>
      </c>
      <c r="EX56" s="74">
        <v>1</v>
      </c>
      <c r="EY56" s="74">
        <v>1</v>
      </c>
      <c r="EZ56" s="74">
        <v>1</v>
      </c>
      <c r="FA56" s="74">
        <v>1</v>
      </c>
      <c r="FB56" s="74">
        <v>1</v>
      </c>
      <c r="FC56" s="74">
        <v>1</v>
      </c>
      <c r="FD56" s="74">
        <v>1</v>
      </c>
      <c r="FE56" s="74">
        <v>1</v>
      </c>
      <c r="FF56" s="74">
        <v>1</v>
      </c>
      <c r="FG56" s="74">
        <v>1</v>
      </c>
      <c r="FH56" s="74">
        <v>1</v>
      </c>
      <c r="FI56" s="74">
        <v>1</v>
      </c>
      <c r="FJ56" s="74">
        <v>1</v>
      </c>
      <c r="FK56" s="74">
        <v>1</v>
      </c>
      <c r="FL56" s="74">
        <v>1</v>
      </c>
      <c r="FM56" s="74">
        <v>1</v>
      </c>
      <c r="FN56" s="74">
        <v>1</v>
      </c>
      <c r="FO56" s="74">
        <v>1</v>
      </c>
      <c r="FP56" s="74">
        <v>1</v>
      </c>
      <c r="FQ56" s="74">
        <v>1</v>
      </c>
      <c r="FR56" s="74">
        <v>1</v>
      </c>
      <c r="FS56" s="78">
        <v>1</v>
      </c>
      <c r="FT56" s="74">
        <v>1</v>
      </c>
      <c r="FU56" s="74">
        <v>1</v>
      </c>
      <c r="FV56" s="74">
        <v>1</v>
      </c>
      <c r="FW56" s="74">
        <v>1</v>
      </c>
      <c r="FX56" s="74">
        <v>1</v>
      </c>
      <c r="FY56" s="74">
        <v>1</v>
      </c>
      <c r="FZ56" s="74">
        <v>1</v>
      </c>
      <c r="GA56" s="74">
        <v>1</v>
      </c>
      <c r="GB56" s="74">
        <v>1</v>
      </c>
      <c r="GC56" s="74">
        <v>1</v>
      </c>
      <c r="GD56" s="74">
        <v>1</v>
      </c>
      <c r="GE56" s="74">
        <v>1</v>
      </c>
      <c r="GF56" s="74">
        <v>1</v>
      </c>
      <c r="GG56" s="74">
        <v>1</v>
      </c>
      <c r="GH56" s="74">
        <v>1</v>
      </c>
      <c r="GI56" s="74">
        <v>1</v>
      </c>
      <c r="GJ56" s="74">
        <v>1</v>
      </c>
      <c r="GK56" s="74">
        <v>1</v>
      </c>
      <c r="GL56" s="74">
        <v>1</v>
      </c>
      <c r="GM56" s="74">
        <v>1</v>
      </c>
      <c r="GN56" s="74">
        <v>1</v>
      </c>
      <c r="GO56" s="74">
        <v>1</v>
      </c>
      <c r="GP56" s="74">
        <v>1</v>
      </c>
      <c r="GQ56" s="78">
        <v>1</v>
      </c>
      <c r="GR56" s="74">
        <v>1</v>
      </c>
      <c r="GS56" s="74">
        <v>1</v>
      </c>
      <c r="GT56" s="74">
        <v>1</v>
      </c>
      <c r="GU56" s="74">
        <v>1</v>
      </c>
      <c r="GV56" s="74">
        <v>1</v>
      </c>
      <c r="GW56" s="74">
        <v>1</v>
      </c>
      <c r="GX56" s="74">
        <v>1</v>
      </c>
      <c r="GY56" s="74">
        <v>1</v>
      </c>
      <c r="GZ56" s="74">
        <v>1</v>
      </c>
      <c r="HA56" s="74">
        <v>1</v>
      </c>
      <c r="HB56" s="74">
        <v>1</v>
      </c>
      <c r="HC56" s="74">
        <v>1</v>
      </c>
      <c r="HD56" s="74">
        <v>1</v>
      </c>
      <c r="HE56" s="74">
        <v>1</v>
      </c>
      <c r="HF56" s="74">
        <v>1</v>
      </c>
      <c r="HG56" s="74">
        <v>1</v>
      </c>
      <c r="HH56" s="74">
        <v>1</v>
      </c>
      <c r="HI56" s="74">
        <v>1</v>
      </c>
      <c r="HJ56" s="74">
        <v>1</v>
      </c>
      <c r="HK56" s="74">
        <v>1</v>
      </c>
      <c r="HL56" s="74">
        <v>1</v>
      </c>
      <c r="HM56" s="74">
        <v>1</v>
      </c>
      <c r="HN56" s="74">
        <v>1</v>
      </c>
      <c r="HO56" s="74">
        <v>1</v>
      </c>
      <c r="HP56" s="74">
        <v>1</v>
      </c>
      <c r="HQ56" s="74">
        <v>1</v>
      </c>
      <c r="HR56" s="74">
        <v>1</v>
      </c>
      <c r="HS56" s="74">
        <v>1</v>
      </c>
      <c r="HT56" s="74">
        <v>1</v>
      </c>
      <c r="HU56" s="74">
        <v>1</v>
      </c>
      <c r="HV56" s="74">
        <v>1</v>
      </c>
      <c r="HW56" s="74">
        <v>1</v>
      </c>
      <c r="HX56" s="75">
        <v>1</v>
      </c>
    </row>
    <row r="57" spans="1:232" x14ac:dyDescent="0.2">
      <c r="B57" s="80" t="s">
        <v>103</v>
      </c>
      <c r="C57" s="80" t="s">
        <v>132</v>
      </c>
      <c r="D57" s="81">
        <v>5.2</v>
      </c>
      <c r="E57" s="80" t="s">
        <v>127</v>
      </c>
      <c r="F57" s="80" t="s">
        <v>123</v>
      </c>
      <c r="G57" s="78">
        <v>1</v>
      </c>
      <c r="H57" s="78">
        <v>1</v>
      </c>
      <c r="I57" s="78">
        <v>1</v>
      </c>
      <c r="J57" s="78">
        <v>1</v>
      </c>
      <c r="K57" s="78">
        <v>1</v>
      </c>
      <c r="L57" s="78">
        <v>1</v>
      </c>
      <c r="M57" s="78">
        <v>1</v>
      </c>
      <c r="N57" s="78">
        <v>1</v>
      </c>
      <c r="O57" s="78">
        <v>1</v>
      </c>
      <c r="P57" s="78">
        <v>1</v>
      </c>
      <c r="Q57" s="78">
        <v>1</v>
      </c>
      <c r="R57" s="78">
        <v>1</v>
      </c>
      <c r="S57" s="78">
        <v>1</v>
      </c>
      <c r="T57" s="78">
        <v>1</v>
      </c>
      <c r="U57" s="78">
        <v>1</v>
      </c>
      <c r="V57" s="78">
        <v>1</v>
      </c>
      <c r="W57" s="78">
        <v>1</v>
      </c>
      <c r="X57" s="78">
        <v>1</v>
      </c>
      <c r="Y57" s="78">
        <v>1</v>
      </c>
      <c r="Z57" s="78">
        <v>1</v>
      </c>
      <c r="AA57" s="78">
        <v>1</v>
      </c>
      <c r="AB57" s="78">
        <v>1</v>
      </c>
      <c r="AC57" s="74">
        <v>1</v>
      </c>
      <c r="AD57" s="74">
        <v>1</v>
      </c>
      <c r="AE57" s="78">
        <v>1</v>
      </c>
      <c r="AF57" s="78">
        <v>1</v>
      </c>
      <c r="AG57" s="78">
        <v>1</v>
      </c>
      <c r="AH57" s="78">
        <v>1</v>
      </c>
      <c r="AI57" s="78">
        <v>1</v>
      </c>
      <c r="AJ57" s="78">
        <v>1</v>
      </c>
      <c r="AK57" s="78">
        <v>1</v>
      </c>
      <c r="AL57" s="78">
        <v>1</v>
      </c>
      <c r="AM57" s="78">
        <v>1</v>
      </c>
      <c r="AN57" s="78">
        <v>1</v>
      </c>
      <c r="AO57" s="78">
        <v>1</v>
      </c>
      <c r="AP57" s="78">
        <v>1</v>
      </c>
      <c r="AQ57" s="78">
        <v>1</v>
      </c>
      <c r="AR57" s="78">
        <v>1</v>
      </c>
      <c r="AS57" s="78">
        <v>1</v>
      </c>
      <c r="AT57" s="78">
        <v>1</v>
      </c>
      <c r="AU57" s="78">
        <v>1</v>
      </c>
      <c r="AV57" s="78">
        <v>1</v>
      </c>
      <c r="AW57" s="78">
        <v>1</v>
      </c>
      <c r="AX57" s="78">
        <v>1</v>
      </c>
      <c r="AY57" s="78">
        <v>1</v>
      </c>
      <c r="AZ57" s="78">
        <v>1</v>
      </c>
      <c r="BA57" s="74">
        <v>1</v>
      </c>
      <c r="BB57" s="74">
        <v>1</v>
      </c>
      <c r="BC57" s="78">
        <v>1</v>
      </c>
      <c r="BD57" s="78">
        <v>1</v>
      </c>
      <c r="BE57" s="78">
        <v>1</v>
      </c>
      <c r="BF57" s="78">
        <v>1</v>
      </c>
      <c r="BG57" s="78">
        <v>1</v>
      </c>
      <c r="BH57" s="78">
        <v>1</v>
      </c>
      <c r="BI57" s="78">
        <v>1</v>
      </c>
      <c r="BJ57" s="78">
        <v>1</v>
      </c>
      <c r="BK57" s="78">
        <v>1</v>
      </c>
      <c r="BL57" s="78">
        <v>1</v>
      </c>
      <c r="BM57" s="78">
        <v>1</v>
      </c>
      <c r="BN57" s="78">
        <v>1</v>
      </c>
      <c r="BO57" s="78">
        <v>1</v>
      </c>
      <c r="BP57" s="78">
        <v>1</v>
      </c>
      <c r="BQ57" s="78">
        <v>1</v>
      </c>
      <c r="BR57" s="78">
        <v>1</v>
      </c>
      <c r="BS57" s="78">
        <v>1</v>
      </c>
      <c r="BT57" s="78">
        <v>1</v>
      </c>
      <c r="BU57" s="78">
        <v>1</v>
      </c>
      <c r="BV57" s="78">
        <v>1</v>
      </c>
      <c r="BW57" s="78">
        <v>1</v>
      </c>
      <c r="BX57" s="78">
        <v>1</v>
      </c>
      <c r="BY57" s="74">
        <v>1</v>
      </c>
      <c r="BZ57" s="74">
        <v>1</v>
      </c>
      <c r="CA57" s="78">
        <v>1</v>
      </c>
      <c r="CB57" s="78">
        <v>1</v>
      </c>
      <c r="CC57" s="78">
        <v>1</v>
      </c>
      <c r="CD57" s="78">
        <v>1</v>
      </c>
      <c r="CE57" s="78">
        <v>1</v>
      </c>
      <c r="CF57" s="78">
        <v>1</v>
      </c>
      <c r="CG57" s="78">
        <v>1</v>
      </c>
      <c r="CH57" s="78">
        <v>1</v>
      </c>
      <c r="CI57" s="78">
        <v>1</v>
      </c>
      <c r="CJ57" s="78">
        <v>1</v>
      </c>
      <c r="CK57" s="78">
        <v>1</v>
      </c>
      <c r="CL57" s="78">
        <v>1</v>
      </c>
      <c r="CM57" s="78">
        <v>1</v>
      </c>
      <c r="CN57" s="78">
        <v>1</v>
      </c>
      <c r="CO57" s="78">
        <v>1</v>
      </c>
      <c r="CP57" s="78">
        <v>1</v>
      </c>
      <c r="CQ57" s="78">
        <v>1</v>
      </c>
      <c r="CR57" s="78">
        <v>1</v>
      </c>
      <c r="CS57" s="78">
        <v>1</v>
      </c>
      <c r="CT57" s="78">
        <v>1</v>
      </c>
      <c r="CU57" s="78">
        <v>1</v>
      </c>
      <c r="CV57" s="78">
        <v>1</v>
      </c>
      <c r="CW57" s="74">
        <v>1</v>
      </c>
      <c r="CX57" s="74">
        <v>1</v>
      </c>
      <c r="CY57" s="78">
        <v>1</v>
      </c>
      <c r="CZ57" s="78">
        <v>1</v>
      </c>
      <c r="DA57" s="78">
        <v>1</v>
      </c>
      <c r="DB57" s="78">
        <v>1</v>
      </c>
      <c r="DC57" s="78">
        <v>1</v>
      </c>
      <c r="DD57" s="78">
        <v>1</v>
      </c>
      <c r="DE57" s="78">
        <v>1</v>
      </c>
      <c r="DF57" s="78">
        <v>1</v>
      </c>
      <c r="DG57" s="78">
        <v>1</v>
      </c>
      <c r="DH57" s="78">
        <v>1</v>
      </c>
      <c r="DI57" s="78">
        <v>1</v>
      </c>
      <c r="DJ57" s="78">
        <v>1</v>
      </c>
      <c r="DK57" s="78">
        <v>1</v>
      </c>
      <c r="DL57" s="78">
        <v>1</v>
      </c>
      <c r="DM57" s="78">
        <v>1</v>
      </c>
      <c r="DN57" s="78">
        <v>1</v>
      </c>
      <c r="DO57" s="78">
        <v>1</v>
      </c>
      <c r="DP57" s="78">
        <v>1</v>
      </c>
      <c r="DQ57" s="78">
        <v>1</v>
      </c>
      <c r="DR57" s="78">
        <v>1</v>
      </c>
      <c r="DS57" s="78">
        <v>1</v>
      </c>
      <c r="DT57" s="78">
        <v>1</v>
      </c>
      <c r="DU57" s="74">
        <v>1</v>
      </c>
      <c r="DV57" s="74">
        <v>1</v>
      </c>
      <c r="DW57" s="78">
        <v>1</v>
      </c>
      <c r="DX57" s="78">
        <v>1</v>
      </c>
      <c r="DY57" s="78">
        <v>1</v>
      </c>
      <c r="DZ57" s="78">
        <v>1</v>
      </c>
      <c r="EA57" s="78">
        <v>1</v>
      </c>
      <c r="EB57" s="78">
        <v>1</v>
      </c>
      <c r="EC57" s="78">
        <v>1</v>
      </c>
      <c r="ED57" s="78">
        <v>1</v>
      </c>
      <c r="EE57" s="78">
        <v>1</v>
      </c>
      <c r="EF57" s="78">
        <v>1</v>
      </c>
      <c r="EG57" s="78">
        <v>1</v>
      </c>
      <c r="EH57" s="78">
        <v>1</v>
      </c>
      <c r="EI57" s="78">
        <v>1</v>
      </c>
      <c r="EJ57" s="78">
        <v>1</v>
      </c>
      <c r="EK57" s="78">
        <v>1</v>
      </c>
      <c r="EL57" s="78">
        <v>1</v>
      </c>
      <c r="EM57" s="78">
        <v>1</v>
      </c>
      <c r="EN57" s="78">
        <v>1</v>
      </c>
      <c r="EO57" s="78">
        <v>1</v>
      </c>
      <c r="EP57" s="78">
        <v>1</v>
      </c>
      <c r="EQ57" s="78">
        <v>1</v>
      </c>
      <c r="ER57" s="78">
        <v>1</v>
      </c>
      <c r="ES57" s="74">
        <v>1</v>
      </c>
      <c r="ET57" s="74">
        <v>1</v>
      </c>
      <c r="EU57" s="78">
        <v>1</v>
      </c>
      <c r="EV57" s="78">
        <v>1</v>
      </c>
      <c r="EW57" s="78">
        <v>1</v>
      </c>
      <c r="EX57" s="78">
        <v>1</v>
      </c>
      <c r="EY57" s="78">
        <v>1</v>
      </c>
      <c r="EZ57" s="78">
        <v>1</v>
      </c>
      <c r="FA57" s="78">
        <v>1</v>
      </c>
      <c r="FB57" s="78">
        <v>1</v>
      </c>
      <c r="FC57" s="78">
        <v>1</v>
      </c>
      <c r="FD57" s="78">
        <v>1</v>
      </c>
      <c r="FE57" s="78">
        <v>1</v>
      </c>
      <c r="FF57" s="78">
        <v>1</v>
      </c>
      <c r="FG57" s="78">
        <v>1</v>
      </c>
      <c r="FH57" s="78">
        <v>1</v>
      </c>
      <c r="FI57" s="78">
        <v>1</v>
      </c>
      <c r="FJ57" s="78">
        <v>1</v>
      </c>
      <c r="FK57" s="78">
        <v>1</v>
      </c>
      <c r="FL57" s="78">
        <v>1</v>
      </c>
      <c r="FM57" s="78">
        <v>1</v>
      </c>
      <c r="FN57" s="78">
        <v>1</v>
      </c>
      <c r="FO57" s="78">
        <v>1</v>
      </c>
      <c r="FP57" s="78">
        <v>1</v>
      </c>
      <c r="FQ57" s="74">
        <v>1</v>
      </c>
      <c r="FR57" s="74">
        <v>1</v>
      </c>
      <c r="FS57" s="78">
        <v>1</v>
      </c>
      <c r="FT57" s="78">
        <v>1</v>
      </c>
      <c r="FU57" s="78">
        <v>1</v>
      </c>
      <c r="FV57" s="78">
        <v>1</v>
      </c>
      <c r="FW57" s="78">
        <v>1</v>
      </c>
      <c r="FX57" s="78">
        <v>1</v>
      </c>
      <c r="FY57" s="78">
        <v>1</v>
      </c>
      <c r="FZ57" s="78">
        <v>1</v>
      </c>
      <c r="GA57" s="78">
        <v>1</v>
      </c>
      <c r="GB57" s="78">
        <v>1</v>
      </c>
      <c r="GC57" s="78">
        <v>1</v>
      </c>
      <c r="GD57" s="78">
        <v>1</v>
      </c>
      <c r="GE57" s="78">
        <v>1</v>
      </c>
      <c r="GF57" s="78">
        <v>1</v>
      </c>
      <c r="GG57" s="78">
        <v>1</v>
      </c>
      <c r="GH57" s="78">
        <v>1</v>
      </c>
      <c r="GI57" s="78">
        <v>1</v>
      </c>
      <c r="GJ57" s="78">
        <v>1</v>
      </c>
      <c r="GK57" s="78">
        <v>1</v>
      </c>
      <c r="GL57" s="78">
        <v>1</v>
      </c>
      <c r="GM57" s="78">
        <v>1</v>
      </c>
      <c r="GN57" s="78">
        <v>1</v>
      </c>
      <c r="GO57" s="74">
        <v>1</v>
      </c>
      <c r="GP57" s="74">
        <v>1</v>
      </c>
      <c r="GQ57" s="78">
        <v>1</v>
      </c>
      <c r="GR57" s="78">
        <v>1</v>
      </c>
      <c r="GS57" s="78">
        <v>1</v>
      </c>
      <c r="GT57" s="78">
        <v>1</v>
      </c>
      <c r="GU57" s="78">
        <v>1</v>
      </c>
      <c r="GV57" s="78">
        <v>1</v>
      </c>
      <c r="GW57" s="78">
        <v>1</v>
      </c>
      <c r="GX57" s="78">
        <v>1</v>
      </c>
      <c r="GY57" s="78">
        <v>1</v>
      </c>
      <c r="GZ57" s="78">
        <v>1</v>
      </c>
      <c r="HA57" s="78">
        <v>1</v>
      </c>
      <c r="HB57" s="78">
        <v>1</v>
      </c>
      <c r="HC57" s="78">
        <v>1</v>
      </c>
      <c r="HD57" s="78">
        <v>1</v>
      </c>
      <c r="HE57" s="74">
        <v>1</v>
      </c>
      <c r="HF57" s="74">
        <v>1</v>
      </c>
      <c r="HG57" s="74">
        <v>1</v>
      </c>
      <c r="HH57" s="74">
        <v>1</v>
      </c>
      <c r="HI57" s="74">
        <v>1</v>
      </c>
      <c r="HJ57" s="74">
        <v>1</v>
      </c>
      <c r="HK57" s="74">
        <v>1</v>
      </c>
      <c r="HL57" s="74">
        <v>1</v>
      </c>
      <c r="HM57" s="74">
        <v>1</v>
      </c>
      <c r="HN57" s="74">
        <v>1</v>
      </c>
      <c r="HO57" s="74">
        <v>1</v>
      </c>
      <c r="HP57" s="74">
        <v>1</v>
      </c>
      <c r="HQ57" s="74">
        <v>1</v>
      </c>
      <c r="HR57" s="74">
        <v>1</v>
      </c>
      <c r="HS57" s="74">
        <v>1</v>
      </c>
      <c r="HT57" s="74">
        <v>1</v>
      </c>
      <c r="HU57" s="74">
        <v>1</v>
      </c>
      <c r="HV57" s="74">
        <v>1</v>
      </c>
      <c r="HW57" s="74">
        <v>1</v>
      </c>
      <c r="HX57" s="75">
        <v>1</v>
      </c>
    </row>
    <row r="58" spans="1:232" x14ac:dyDescent="0.2">
      <c r="B58" s="80" t="s">
        <v>104</v>
      </c>
      <c r="C58" s="80" t="s">
        <v>132</v>
      </c>
      <c r="D58" s="81">
        <v>5.2</v>
      </c>
      <c r="E58" s="80" t="s">
        <v>127</v>
      </c>
      <c r="F58" s="80" t="s">
        <v>123</v>
      </c>
      <c r="G58" s="78">
        <v>1</v>
      </c>
      <c r="H58" s="78">
        <v>1</v>
      </c>
      <c r="I58" s="78">
        <v>1</v>
      </c>
      <c r="J58" s="78">
        <v>1</v>
      </c>
      <c r="K58" s="78">
        <v>1</v>
      </c>
      <c r="L58" s="78">
        <v>1</v>
      </c>
      <c r="M58" s="78">
        <v>1</v>
      </c>
      <c r="N58" s="78">
        <v>1</v>
      </c>
      <c r="O58" s="78">
        <v>1</v>
      </c>
      <c r="P58" s="78">
        <v>1</v>
      </c>
      <c r="Q58" s="78">
        <v>1</v>
      </c>
      <c r="R58" s="78">
        <v>1</v>
      </c>
      <c r="S58" s="78">
        <v>1</v>
      </c>
      <c r="T58" s="78">
        <v>1</v>
      </c>
      <c r="U58" s="78">
        <v>1</v>
      </c>
      <c r="V58" s="78">
        <v>1</v>
      </c>
      <c r="W58" s="78">
        <v>1</v>
      </c>
      <c r="X58" s="78">
        <v>1</v>
      </c>
      <c r="Y58" s="78">
        <v>1</v>
      </c>
      <c r="Z58" s="78">
        <v>1</v>
      </c>
      <c r="AA58" s="78">
        <v>1</v>
      </c>
      <c r="AB58" s="78">
        <v>1</v>
      </c>
      <c r="AC58" s="74">
        <v>1</v>
      </c>
      <c r="AD58" s="74">
        <v>1</v>
      </c>
      <c r="AE58" s="78">
        <v>1</v>
      </c>
      <c r="AF58" s="78">
        <v>1</v>
      </c>
      <c r="AG58" s="78">
        <v>1</v>
      </c>
      <c r="AH58" s="78">
        <v>1</v>
      </c>
      <c r="AI58" s="78">
        <v>1</v>
      </c>
      <c r="AJ58" s="78">
        <v>1</v>
      </c>
      <c r="AK58" s="78">
        <v>1</v>
      </c>
      <c r="AL58" s="78">
        <v>1</v>
      </c>
      <c r="AM58" s="78">
        <v>1</v>
      </c>
      <c r="AN58" s="78">
        <v>1</v>
      </c>
      <c r="AO58" s="78">
        <v>1</v>
      </c>
      <c r="AP58" s="78">
        <v>1</v>
      </c>
      <c r="AQ58" s="78">
        <v>1</v>
      </c>
      <c r="AR58" s="78">
        <v>1</v>
      </c>
      <c r="AS58" s="78">
        <v>1</v>
      </c>
      <c r="AT58" s="78">
        <v>1</v>
      </c>
      <c r="AU58" s="78">
        <v>1</v>
      </c>
      <c r="AV58" s="78">
        <v>1</v>
      </c>
      <c r="AW58" s="78">
        <v>1</v>
      </c>
      <c r="AX58" s="78">
        <v>1</v>
      </c>
      <c r="AY58" s="78">
        <v>1</v>
      </c>
      <c r="AZ58" s="78">
        <v>1</v>
      </c>
      <c r="BA58" s="74">
        <v>1</v>
      </c>
      <c r="BB58" s="74">
        <v>1</v>
      </c>
      <c r="BC58" s="78">
        <v>1</v>
      </c>
      <c r="BD58" s="74">
        <v>1</v>
      </c>
      <c r="BE58" s="74">
        <v>1</v>
      </c>
      <c r="BF58" s="74">
        <v>1</v>
      </c>
      <c r="BG58" s="74">
        <v>1</v>
      </c>
      <c r="BH58" s="74">
        <v>1</v>
      </c>
      <c r="BI58" s="74">
        <v>1</v>
      </c>
      <c r="BJ58" s="74">
        <v>1</v>
      </c>
      <c r="BK58" s="74">
        <v>1</v>
      </c>
      <c r="BL58" s="74">
        <v>1</v>
      </c>
      <c r="BM58" s="74">
        <v>1</v>
      </c>
      <c r="BN58" s="74">
        <v>1</v>
      </c>
      <c r="BO58" s="74">
        <v>1</v>
      </c>
      <c r="BP58" s="74">
        <v>1</v>
      </c>
      <c r="BQ58" s="74">
        <v>1</v>
      </c>
      <c r="BR58" s="74">
        <v>1</v>
      </c>
      <c r="BS58" s="74">
        <v>1</v>
      </c>
      <c r="BT58" s="74">
        <v>1</v>
      </c>
      <c r="BU58" s="74">
        <v>1</v>
      </c>
      <c r="BV58" s="74">
        <v>1</v>
      </c>
      <c r="BW58" s="74">
        <v>1</v>
      </c>
      <c r="BX58" s="74">
        <v>1</v>
      </c>
      <c r="BY58" s="74">
        <v>1</v>
      </c>
      <c r="BZ58" s="74">
        <v>1</v>
      </c>
      <c r="CA58" s="78">
        <v>1</v>
      </c>
      <c r="CB58" s="74">
        <v>1</v>
      </c>
      <c r="CC58" s="74">
        <v>1</v>
      </c>
      <c r="CD58" s="74">
        <v>1</v>
      </c>
      <c r="CE58" s="74">
        <v>1</v>
      </c>
      <c r="CF58" s="74">
        <v>1</v>
      </c>
      <c r="CG58" s="74">
        <v>1</v>
      </c>
      <c r="CH58" s="74">
        <v>1</v>
      </c>
      <c r="CI58" s="74">
        <v>1</v>
      </c>
      <c r="CJ58" s="74">
        <v>1</v>
      </c>
      <c r="CK58" s="74">
        <v>1</v>
      </c>
      <c r="CL58" s="74">
        <v>1</v>
      </c>
      <c r="CM58" s="74">
        <v>1</v>
      </c>
      <c r="CN58" s="74">
        <v>1</v>
      </c>
      <c r="CO58" s="74">
        <v>1</v>
      </c>
      <c r="CP58" s="74">
        <v>1</v>
      </c>
      <c r="CQ58" s="74">
        <v>1</v>
      </c>
      <c r="CR58" s="74">
        <v>1</v>
      </c>
      <c r="CS58" s="74">
        <v>1</v>
      </c>
      <c r="CT58" s="74">
        <v>1</v>
      </c>
      <c r="CU58" s="74">
        <v>1</v>
      </c>
      <c r="CV58" s="74">
        <v>1</v>
      </c>
      <c r="CW58" s="74">
        <v>1</v>
      </c>
      <c r="CX58" s="74">
        <v>1</v>
      </c>
      <c r="CY58" s="78">
        <v>1</v>
      </c>
      <c r="CZ58" s="74">
        <v>1</v>
      </c>
      <c r="DA58" s="74">
        <v>1</v>
      </c>
      <c r="DB58" s="74">
        <v>1</v>
      </c>
      <c r="DC58" s="74">
        <v>1</v>
      </c>
      <c r="DD58" s="74">
        <v>1</v>
      </c>
      <c r="DE58" s="74">
        <v>1</v>
      </c>
      <c r="DF58" s="74">
        <v>1</v>
      </c>
      <c r="DG58" s="74">
        <v>1</v>
      </c>
      <c r="DH58" s="74">
        <v>1</v>
      </c>
      <c r="DI58" s="74">
        <v>1</v>
      </c>
      <c r="DJ58" s="74">
        <v>1</v>
      </c>
      <c r="DK58" s="74">
        <v>1</v>
      </c>
      <c r="DL58" s="74">
        <v>1</v>
      </c>
      <c r="DM58" s="74">
        <v>1</v>
      </c>
      <c r="DN58" s="74">
        <v>1</v>
      </c>
      <c r="DO58" s="74">
        <v>1</v>
      </c>
      <c r="DP58" s="74">
        <v>1</v>
      </c>
      <c r="DQ58" s="74">
        <v>1</v>
      </c>
      <c r="DR58" s="74">
        <v>1</v>
      </c>
      <c r="DS58" s="74">
        <v>1</v>
      </c>
      <c r="DT58" s="74">
        <v>1</v>
      </c>
      <c r="DU58" s="74">
        <v>1</v>
      </c>
      <c r="DV58" s="74">
        <v>1</v>
      </c>
      <c r="DW58" s="78">
        <v>1</v>
      </c>
      <c r="DX58" s="74">
        <v>1</v>
      </c>
      <c r="DY58" s="74">
        <v>1</v>
      </c>
      <c r="DZ58" s="74">
        <v>1</v>
      </c>
      <c r="EA58" s="74">
        <v>1</v>
      </c>
      <c r="EB58" s="74">
        <v>1</v>
      </c>
      <c r="EC58" s="74">
        <v>1</v>
      </c>
      <c r="ED58" s="74">
        <v>1</v>
      </c>
      <c r="EE58" s="74">
        <v>1</v>
      </c>
      <c r="EF58" s="74">
        <v>1</v>
      </c>
      <c r="EG58" s="74">
        <v>1</v>
      </c>
      <c r="EH58" s="74">
        <v>1</v>
      </c>
      <c r="EI58" s="74">
        <v>1</v>
      </c>
      <c r="EJ58" s="74">
        <v>1</v>
      </c>
      <c r="EK58" s="74">
        <v>1</v>
      </c>
      <c r="EL58" s="74">
        <v>1</v>
      </c>
      <c r="EM58" s="74">
        <v>1</v>
      </c>
      <c r="EN58" s="74">
        <v>1</v>
      </c>
      <c r="EO58" s="74">
        <v>1</v>
      </c>
      <c r="EP58" s="74">
        <v>1</v>
      </c>
      <c r="EQ58" s="74">
        <v>1</v>
      </c>
      <c r="ER58" s="74">
        <v>1</v>
      </c>
      <c r="ES58" s="74">
        <v>1</v>
      </c>
      <c r="ET58" s="74">
        <v>1</v>
      </c>
      <c r="EU58" s="78">
        <v>1</v>
      </c>
      <c r="EV58" s="74">
        <v>1</v>
      </c>
      <c r="EW58" s="74">
        <v>1</v>
      </c>
      <c r="EX58" s="74">
        <v>1</v>
      </c>
      <c r="EY58" s="74">
        <v>1</v>
      </c>
      <c r="EZ58" s="74">
        <v>1</v>
      </c>
      <c r="FA58" s="74">
        <v>1</v>
      </c>
      <c r="FB58" s="74">
        <v>1</v>
      </c>
      <c r="FC58" s="74">
        <v>1</v>
      </c>
      <c r="FD58" s="74">
        <v>1</v>
      </c>
      <c r="FE58" s="74">
        <v>1</v>
      </c>
      <c r="FF58" s="74">
        <v>1</v>
      </c>
      <c r="FG58" s="74">
        <v>1</v>
      </c>
      <c r="FH58" s="74">
        <v>1</v>
      </c>
      <c r="FI58" s="74">
        <v>1</v>
      </c>
      <c r="FJ58" s="74">
        <v>1</v>
      </c>
      <c r="FK58" s="74">
        <v>1</v>
      </c>
      <c r="FL58" s="74">
        <v>1</v>
      </c>
      <c r="FM58" s="74">
        <v>1</v>
      </c>
      <c r="FN58" s="74">
        <v>1</v>
      </c>
      <c r="FO58" s="74">
        <v>1</v>
      </c>
      <c r="FP58" s="74">
        <v>1</v>
      </c>
      <c r="FQ58" s="74">
        <v>1</v>
      </c>
      <c r="FR58" s="74">
        <v>1</v>
      </c>
      <c r="FS58" s="78">
        <v>1</v>
      </c>
      <c r="FT58" s="74">
        <v>1</v>
      </c>
      <c r="FU58" s="74">
        <v>1</v>
      </c>
      <c r="FV58" s="74">
        <v>1</v>
      </c>
      <c r="FW58" s="74">
        <v>1</v>
      </c>
      <c r="FX58" s="74">
        <v>1</v>
      </c>
      <c r="FY58" s="74">
        <v>1</v>
      </c>
      <c r="FZ58" s="74">
        <v>1</v>
      </c>
      <c r="GA58" s="74">
        <v>1</v>
      </c>
      <c r="GB58" s="74">
        <v>1</v>
      </c>
      <c r="GC58" s="74">
        <v>1</v>
      </c>
      <c r="GD58" s="74">
        <v>1</v>
      </c>
      <c r="GE58" s="74">
        <v>1</v>
      </c>
      <c r="GF58" s="74">
        <v>1</v>
      </c>
      <c r="GG58" s="74">
        <v>1</v>
      </c>
      <c r="GH58" s="74">
        <v>1</v>
      </c>
      <c r="GI58" s="74">
        <v>1</v>
      </c>
      <c r="GJ58" s="74">
        <v>1</v>
      </c>
      <c r="GK58" s="74">
        <v>1</v>
      </c>
      <c r="GL58" s="74">
        <v>1</v>
      </c>
      <c r="GM58" s="74">
        <v>1</v>
      </c>
      <c r="GN58" s="74">
        <v>1</v>
      </c>
      <c r="GO58" s="74">
        <v>1</v>
      </c>
      <c r="GP58" s="74">
        <v>1</v>
      </c>
      <c r="GQ58" s="78">
        <v>1</v>
      </c>
      <c r="GR58" s="74">
        <v>1</v>
      </c>
      <c r="GS58" s="74">
        <v>1</v>
      </c>
      <c r="GT58" s="74">
        <v>1</v>
      </c>
      <c r="GU58" s="74">
        <v>1</v>
      </c>
      <c r="GV58" s="74">
        <v>1</v>
      </c>
      <c r="GW58" s="74">
        <v>1</v>
      </c>
      <c r="GX58" s="74">
        <v>1</v>
      </c>
      <c r="GY58" s="74">
        <v>1</v>
      </c>
      <c r="GZ58" s="74">
        <v>1</v>
      </c>
      <c r="HA58" s="74">
        <v>1</v>
      </c>
      <c r="HB58" s="74">
        <v>1</v>
      </c>
      <c r="HC58" s="74">
        <v>1</v>
      </c>
      <c r="HD58" s="74">
        <v>1</v>
      </c>
      <c r="HE58" s="74">
        <v>1</v>
      </c>
      <c r="HF58" s="74">
        <v>1</v>
      </c>
      <c r="HG58" s="74">
        <v>1</v>
      </c>
      <c r="HH58" s="74">
        <v>1</v>
      </c>
      <c r="HI58" s="74">
        <v>1</v>
      </c>
      <c r="HJ58" s="74">
        <v>1</v>
      </c>
      <c r="HK58" s="74">
        <v>1</v>
      </c>
      <c r="HL58" s="74">
        <v>1</v>
      </c>
      <c r="HM58" s="74">
        <v>1</v>
      </c>
      <c r="HN58" s="74">
        <v>1</v>
      </c>
      <c r="HO58" s="74">
        <v>1</v>
      </c>
      <c r="HP58" s="74">
        <v>1</v>
      </c>
      <c r="HQ58" s="74">
        <v>1</v>
      </c>
      <c r="HR58" s="74">
        <v>1</v>
      </c>
      <c r="HS58" s="74">
        <v>1</v>
      </c>
      <c r="HT58" s="74">
        <v>1</v>
      </c>
      <c r="HU58" s="74">
        <v>1</v>
      </c>
      <c r="HV58" s="74">
        <v>1</v>
      </c>
      <c r="HW58" s="74">
        <v>1</v>
      </c>
      <c r="HX58" s="75">
        <v>1</v>
      </c>
    </row>
    <row r="59" spans="1:232" x14ac:dyDescent="0.2">
      <c r="B59" s="82" t="s">
        <v>105</v>
      </c>
      <c r="C59" s="80" t="s">
        <v>132</v>
      </c>
      <c r="D59" s="81">
        <v>5.2</v>
      </c>
      <c r="E59" s="80" t="s">
        <v>127</v>
      </c>
      <c r="F59" s="80" t="s">
        <v>122</v>
      </c>
      <c r="G59" s="78">
        <v>0</v>
      </c>
      <c r="H59" s="74">
        <v>0</v>
      </c>
      <c r="I59" s="74">
        <v>0</v>
      </c>
      <c r="J59" s="74">
        <v>0</v>
      </c>
      <c r="K59" s="74">
        <v>0</v>
      </c>
      <c r="L59" s="74">
        <v>0</v>
      </c>
      <c r="M59" s="74">
        <v>0</v>
      </c>
      <c r="N59" s="74">
        <v>0</v>
      </c>
      <c r="O59" s="74">
        <v>0</v>
      </c>
      <c r="P59" s="74">
        <v>0</v>
      </c>
      <c r="Q59" s="74">
        <v>0</v>
      </c>
      <c r="R59" s="74">
        <v>0</v>
      </c>
      <c r="S59" s="74">
        <v>0</v>
      </c>
      <c r="T59" s="74">
        <v>0</v>
      </c>
      <c r="U59" s="74">
        <v>0</v>
      </c>
      <c r="V59" s="74">
        <v>0</v>
      </c>
      <c r="W59" s="74">
        <v>0</v>
      </c>
      <c r="X59" s="74">
        <v>0</v>
      </c>
      <c r="Y59" s="74">
        <v>0</v>
      </c>
      <c r="Z59" s="74">
        <v>0</v>
      </c>
      <c r="AA59" s="74">
        <v>0</v>
      </c>
      <c r="AB59" s="74">
        <v>0</v>
      </c>
      <c r="AC59" s="74">
        <v>0</v>
      </c>
      <c r="AD59" s="74">
        <v>0</v>
      </c>
      <c r="AE59" s="78">
        <v>0</v>
      </c>
      <c r="AF59" s="74">
        <v>0</v>
      </c>
      <c r="AG59" s="74">
        <v>0</v>
      </c>
      <c r="AH59" s="74">
        <v>0</v>
      </c>
      <c r="AI59" s="74">
        <v>0</v>
      </c>
      <c r="AJ59" s="74">
        <v>0</v>
      </c>
      <c r="AK59" s="74">
        <v>0</v>
      </c>
      <c r="AL59" s="74">
        <v>0</v>
      </c>
      <c r="AM59" s="74">
        <v>0</v>
      </c>
      <c r="AN59" s="74">
        <v>0</v>
      </c>
      <c r="AO59" s="74">
        <v>0</v>
      </c>
      <c r="AP59" s="74">
        <v>0</v>
      </c>
      <c r="AQ59" s="74">
        <v>0</v>
      </c>
      <c r="AR59" s="74">
        <v>0</v>
      </c>
      <c r="AS59" s="74">
        <v>0</v>
      </c>
      <c r="AT59" s="74">
        <v>0</v>
      </c>
      <c r="AU59" s="74">
        <v>0</v>
      </c>
      <c r="AV59" s="74">
        <v>0</v>
      </c>
      <c r="AW59" s="74">
        <v>0</v>
      </c>
      <c r="AX59" s="74">
        <v>0</v>
      </c>
      <c r="AY59" s="74">
        <v>0</v>
      </c>
      <c r="AZ59" s="74">
        <v>0</v>
      </c>
      <c r="BA59" s="74">
        <v>1</v>
      </c>
      <c r="BB59" s="74">
        <v>1</v>
      </c>
      <c r="BC59" s="78">
        <v>1</v>
      </c>
      <c r="BD59" s="74">
        <v>1</v>
      </c>
      <c r="BE59" s="74">
        <v>1</v>
      </c>
      <c r="BF59" s="74">
        <v>1</v>
      </c>
      <c r="BG59" s="74">
        <v>1</v>
      </c>
      <c r="BH59" s="74">
        <v>1</v>
      </c>
      <c r="BI59" s="74">
        <v>1</v>
      </c>
      <c r="BJ59" s="74">
        <v>1</v>
      </c>
      <c r="BK59" s="74">
        <v>1</v>
      </c>
      <c r="BL59" s="74">
        <v>1</v>
      </c>
      <c r="BM59" s="74">
        <v>1</v>
      </c>
      <c r="BN59" s="74">
        <v>1</v>
      </c>
      <c r="BO59" s="74">
        <v>1</v>
      </c>
      <c r="BP59" s="74">
        <v>1</v>
      </c>
      <c r="BQ59" s="74">
        <v>1</v>
      </c>
      <c r="BR59" s="74">
        <v>1</v>
      </c>
      <c r="BS59" s="74">
        <v>1</v>
      </c>
      <c r="BT59" s="74">
        <v>1</v>
      </c>
      <c r="BU59" s="74">
        <v>1</v>
      </c>
      <c r="BV59" s="74">
        <v>1</v>
      </c>
      <c r="BW59" s="74">
        <v>1</v>
      </c>
      <c r="BX59" s="74">
        <v>1</v>
      </c>
      <c r="BY59" s="74">
        <v>1</v>
      </c>
      <c r="BZ59" s="74">
        <v>1</v>
      </c>
      <c r="CA59" s="78">
        <v>1</v>
      </c>
      <c r="CB59" s="74">
        <v>1</v>
      </c>
      <c r="CC59" s="74">
        <v>1</v>
      </c>
      <c r="CD59" s="74">
        <v>1</v>
      </c>
      <c r="CE59" s="74">
        <v>1</v>
      </c>
      <c r="CF59" s="74">
        <v>1</v>
      </c>
      <c r="CG59" s="74">
        <v>1</v>
      </c>
      <c r="CH59" s="74">
        <v>1</v>
      </c>
      <c r="CI59" s="74">
        <v>1</v>
      </c>
      <c r="CJ59" s="74">
        <v>1</v>
      </c>
      <c r="CK59" s="74">
        <v>1</v>
      </c>
      <c r="CL59" s="74">
        <v>1</v>
      </c>
      <c r="CM59" s="74">
        <v>1</v>
      </c>
      <c r="CN59" s="74">
        <v>1</v>
      </c>
      <c r="CO59" s="74">
        <v>1</v>
      </c>
      <c r="CP59" s="74">
        <v>1</v>
      </c>
      <c r="CQ59" s="74">
        <v>1</v>
      </c>
      <c r="CR59" s="74">
        <v>1</v>
      </c>
      <c r="CS59" s="74">
        <v>1</v>
      </c>
      <c r="CT59" s="74">
        <v>1</v>
      </c>
      <c r="CU59" s="74">
        <v>1</v>
      </c>
      <c r="CV59" s="74">
        <v>1</v>
      </c>
      <c r="CW59" s="74">
        <v>1</v>
      </c>
      <c r="CX59" s="74">
        <v>1</v>
      </c>
      <c r="CY59" s="78">
        <v>1</v>
      </c>
      <c r="CZ59" s="74">
        <v>1</v>
      </c>
      <c r="DA59" s="74">
        <v>1</v>
      </c>
      <c r="DB59" s="74">
        <v>1</v>
      </c>
      <c r="DC59" s="74">
        <v>1</v>
      </c>
      <c r="DD59" s="74">
        <v>1</v>
      </c>
      <c r="DE59" s="74">
        <v>1</v>
      </c>
      <c r="DF59" s="74">
        <v>1</v>
      </c>
      <c r="DG59" s="74">
        <v>1</v>
      </c>
      <c r="DH59" s="74">
        <v>1</v>
      </c>
      <c r="DI59" s="74">
        <v>1</v>
      </c>
      <c r="DJ59" s="74">
        <v>1</v>
      </c>
      <c r="DK59" s="74">
        <v>1</v>
      </c>
      <c r="DL59" s="74">
        <v>1</v>
      </c>
      <c r="DM59" s="74">
        <v>1</v>
      </c>
      <c r="DN59" s="74">
        <v>1</v>
      </c>
      <c r="DO59" s="74">
        <v>1</v>
      </c>
      <c r="DP59" s="74">
        <v>1</v>
      </c>
      <c r="DQ59" s="74">
        <v>1</v>
      </c>
      <c r="DR59" s="74">
        <v>1</v>
      </c>
      <c r="DS59" s="74">
        <v>1</v>
      </c>
      <c r="DT59" s="74">
        <v>1</v>
      </c>
      <c r="DU59" s="74">
        <v>1</v>
      </c>
      <c r="DV59" s="74">
        <v>1</v>
      </c>
      <c r="DW59" s="78">
        <v>1</v>
      </c>
      <c r="DX59" s="74">
        <v>1</v>
      </c>
      <c r="DY59" s="74">
        <v>1</v>
      </c>
      <c r="DZ59" s="74">
        <v>1</v>
      </c>
      <c r="EA59" s="74">
        <v>1</v>
      </c>
      <c r="EB59" s="74">
        <v>1</v>
      </c>
      <c r="EC59" s="74">
        <v>1</v>
      </c>
      <c r="ED59" s="74">
        <v>1</v>
      </c>
      <c r="EE59" s="74">
        <v>1</v>
      </c>
      <c r="EF59" s="74">
        <v>1</v>
      </c>
      <c r="EG59" s="74">
        <v>1</v>
      </c>
      <c r="EH59" s="74">
        <v>1</v>
      </c>
      <c r="EI59" s="74">
        <v>1</v>
      </c>
      <c r="EJ59" s="74">
        <v>1</v>
      </c>
      <c r="EK59" s="74">
        <v>1</v>
      </c>
      <c r="EL59" s="74">
        <v>1</v>
      </c>
      <c r="EM59" s="74">
        <v>1</v>
      </c>
      <c r="EN59" s="74">
        <v>1</v>
      </c>
      <c r="EO59" s="74">
        <v>1</v>
      </c>
      <c r="EP59" s="74">
        <v>1</v>
      </c>
      <c r="EQ59" s="74">
        <v>1</v>
      </c>
      <c r="ER59" s="74">
        <v>1</v>
      </c>
      <c r="ES59" s="74">
        <v>1</v>
      </c>
      <c r="ET59" s="74">
        <v>1</v>
      </c>
      <c r="EU59" s="78">
        <v>1</v>
      </c>
      <c r="EV59" s="74">
        <v>1</v>
      </c>
      <c r="EW59" s="74">
        <v>1</v>
      </c>
      <c r="EX59" s="74">
        <v>1</v>
      </c>
      <c r="EY59" s="74">
        <v>1</v>
      </c>
      <c r="EZ59" s="74">
        <v>1</v>
      </c>
      <c r="FA59" s="74">
        <v>1</v>
      </c>
      <c r="FB59" s="74">
        <v>1</v>
      </c>
      <c r="FC59" s="74">
        <v>1</v>
      </c>
      <c r="FD59" s="74">
        <v>1</v>
      </c>
      <c r="FE59" s="74">
        <v>1</v>
      </c>
      <c r="FF59" s="74">
        <v>1</v>
      </c>
      <c r="FG59" s="74">
        <v>1</v>
      </c>
      <c r="FH59" s="74">
        <v>1</v>
      </c>
      <c r="FI59" s="74">
        <v>1</v>
      </c>
      <c r="FJ59" s="74">
        <v>1</v>
      </c>
      <c r="FK59" s="74">
        <v>1</v>
      </c>
      <c r="FL59" s="74">
        <v>1</v>
      </c>
      <c r="FM59" s="74">
        <v>1</v>
      </c>
      <c r="FN59" s="74">
        <v>1</v>
      </c>
      <c r="FO59" s="74">
        <v>1</v>
      </c>
      <c r="FP59" s="74">
        <v>1</v>
      </c>
      <c r="FQ59" s="74">
        <v>1</v>
      </c>
      <c r="FR59" s="74">
        <v>1</v>
      </c>
      <c r="FS59" s="78">
        <v>1</v>
      </c>
      <c r="FT59" s="74">
        <v>1</v>
      </c>
      <c r="FU59" s="74">
        <v>1</v>
      </c>
      <c r="FV59" s="74">
        <v>1</v>
      </c>
      <c r="FW59" s="74">
        <v>1</v>
      </c>
      <c r="FX59" s="74">
        <v>1</v>
      </c>
      <c r="FY59" s="74">
        <v>1</v>
      </c>
      <c r="FZ59" s="74">
        <v>1</v>
      </c>
      <c r="GA59" s="74">
        <v>1</v>
      </c>
      <c r="GB59" s="74">
        <v>1</v>
      </c>
      <c r="GC59" s="74">
        <v>1</v>
      </c>
      <c r="GD59" s="74">
        <v>1</v>
      </c>
      <c r="GE59" s="74">
        <v>1</v>
      </c>
      <c r="GF59" s="74">
        <v>1</v>
      </c>
      <c r="GG59" s="74">
        <v>1</v>
      </c>
      <c r="GH59" s="74">
        <v>1</v>
      </c>
      <c r="GI59" s="74">
        <v>1</v>
      </c>
      <c r="GJ59" s="74">
        <v>1</v>
      </c>
      <c r="GK59" s="74">
        <v>1</v>
      </c>
      <c r="GL59" s="74">
        <v>1</v>
      </c>
      <c r="GM59" s="74">
        <v>1</v>
      </c>
      <c r="GN59" s="74">
        <v>1</v>
      </c>
      <c r="GO59" s="74">
        <v>1</v>
      </c>
      <c r="GP59" s="74">
        <v>1</v>
      </c>
      <c r="GQ59" s="78">
        <v>1</v>
      </c>
      <c r="GR59" s="74">
        <v>1</v>
      </c>
      <c r="GS59" s="74">
        <v>1</v>
      </c>
      <c r="GT59" s="74">
        <v>1</v>
      </c>
      <c r="GU59" s="74">
        <v>1</v>
      </c>
      <c r="GV59" s="74">
        <v>1</v>
      </c>
      <c r="GW59" s="74">
        <v>1</v>
      </c>
      <c r="GX59" s="74">
        <v>1</v>
      </c>
      <c r="GY59" s="74">
        <v>1</v>
      </c>
      <c r="GZ59" s="74">
        <v>1</v>
      </c>
      <c r="HA59" s="74">
        <v>1</v>
      </c>
      <c r="HB59" s="74">
        <v>1</v>
      </c>
      <c r="HC59" s="74">
        <v>1</v>
      </c>
      <c r="HD59" s="74">
        <v>1</v>
      </c>
      <c r="HE59" s="74">
        <v>1</v>
      </c>
      <c r="HF59" s="74">
        <v>1</v>
      </c>
      <c r="HG59" s="74">
        <v>1</v>
      </c>
      <c r="HH59" s="74">
        <v>1</v>
      </c>
      <c r="HI59" s="74">
        <v>1</v>
      </c>
      <c r="HJ59" s="74">
        <v>1</v>
      </c>
      <c r="HK59" s="74">
        <v>1</v>
      </c>
      <c r="HL59" s="74">
        <v>1</v>
      </c>
      <c r="HM59" s="74">
        <v>1</v>
      </c>
      <c r="HN59" s="74">
        <v>1</v>
      </c>
      <c r="HO59" s="74">
        <v>1</v>
      </c>
      <c r="HP59" s="74">
        <v>1</v>
      </c>
      <c r="HQ59" s="74">
        <v>1</v>
      </c>
      <c r="HR59" s="74">
        <v>1</v>
      </c>
      <c r="HS59" s="74">
        <v>1</v>
      </c>
      <c r="HT59" s="74">
        <v>1</v>
      </c>
      <c r="HU59" s="74">
        <v>1</v>
      </c>
      <c r="HV59" s="74">
        <v>1</v>
      </c>
      <c r="HW59" s="74">
        <v>1</v>
      </c>
      <c r="HX59" s="75">
        <v>1</v>
      </c>
    </row>
    <row r="60" spans="1:232" x14ac:dyDescent="0.2">
      <c r="B60" s="80" t="s">
        <v>106</v>
      </c>
      <c r="C60" s="80" t="s">
        <v>132</v>
      </c>
      <c r="D60" s="81">
        <v>5.2</v>
      </c>
      <c r="E60" s="80" t="s">
        <v>127</v>
      </c>
      <c r="F60" s="80" t="s">
        <v>122</v>
      </c>
      <c r="G60" s="78">
        <v>1</v>
      </c>
      <c r="H60" s="74">
        <v>1</v>
      </c>
      <c r="I60" s="74">
        <v>1</v>
      </c>
      <c r="J60" s="74">
        <v>1</v>
      </c>
      <c r="K60" s="74">
        <v>1</v>
      </c>
      <c r="L60" s="74">
        <v>1</v>
      </c>
      <c r="M60" s="74">
        <v>1</v>
      </c>
      <c r="N60" s="74">
        <v>1</v>
      </c>
      <c r="O60" s="74">
        <v>1</v>
      </c>
      <c r="P60" s="74">
        <v>1</v>
      </c>
      <c r="Q60" s="74">
        <v>1</v>
      </c>
      <c r="R60" s="74">
        <v>1</v>
      </c>
      <c r="S60" s="74">
        <v>1</v>
      </c>
      <c r="T60" s="74">
        <v>1</v>
      </c>
      <c r="U60" s="74">
        <v>1</v>
      </c>
      <c r="V60" s="74">
        <v>1</v>
      </c>
      <c r="W60" s="74">
        <v>1</v>
      </c>
      <c r="X60" s="74">
        <v>1</v>
      </c>
      <c r="Y60" s="74">
        <v>1</v>
      </c>
      <c r="Z60" s="74">
        <v>1</v>
      </c>
      <c r="AA60" s="74">
        <v>1</v>
      </c>
      <c r="AB60" s="74">
        <v>1</v>
      </c>
      <c r="AC60" s="74">
        <v>1</v>
      </c>
      <c r="AD60" s="74">
        <v>1</v>
      </c>
      <c r="AE60" s="78">
        <v>1</v>
      </c>
      <c r="AF60" s="74">
        <v>1</v>
      </c>
      <c r="AG60" s="74">
        <v>1</v>
      </c>
      <c r="AH60" s="74">
        <v>1</v>
      </c>
      <c r="AI60" s="74">
        <v>1</v>
      </c>
      <c r="AJ60" s="74">
        <v>1</v>
      </c>
      <c r="AK60" s="74">
        <v>1</v>
      </c>
      <c r="AL60" s="74">
        <v>1</v>
      </c>
      <c r="AM60" s="74">
        <v>1</v>
      </c>
      <c r="AN60" s="74">
        <v>1</v>
      </c>
      <c r="AO60" s="74">
        <v>1</v>
      </c>
      <c r="AP60" s="74">
        <v>1</v>
      </c>
      <c r="AQ60" s="74">
        <v>1</v>
      </c>
      <c r="AR60" s="74">
        <v>1</v>
      </c>
      <c r="AS60" s="74">
        <v>1</v>
      </c>
      <c r="AT60" s="74">
        <v>1</v>
      </c>
      <c r="AU60" s="74">
        <v>1</v>
      </c>
      <c r="AV60" s="74">
        <v>1</v>
      </c>
      <c r="AW60" s="74">
        <v>1</v>
      </c>
      <c r="AX60" s="74">
        <v>1</v>
      </c>
      <c r="AY60" s="74">
        <v>1</v>
      </c>
      <c r="AZ60" s="74">
        <v>1</v>
      </c>
      <c r="BA60" s="74">
        <v>1</v>
      </c>
      <c r="BB60" s="74">
        <v>1</v>
      </c>
      <c r="BC60" s="78">
        <v>1</v>
      </c>
      <c r="BD60" s="74">
        <v>1</v>
      </c>
      <c r="BE60" s="74">
        <v>1</v>
      </c>
      <c r="BF60" s="74">
        <v>1</v>
      </c>
      <c r="BG60" s="74">
        <v>1</v>
      </c>
      <c r="BH60" s="74">
        <v>1</v>
      </c>
      <c r="BI60" s="74">
        <v>1</v>
      </c>
      <c r="BJ60" s="74">
        <v>1</v>
      </c>
      <c r="BK60" s="74">
        <v>1</v>
      </c>
      <c r="BL60" s="74">
        <v>1</v>
      </c>
      <c r="BM60" s="74">
        <v>1</v>
      </c>
      <c r="BN60" s="74">
        <v>1</v>
      </c>
      <c r="BO60" s="74">
        <v>1</v>
      </c>
      <c r="BP60" s="74">
        <v>1</v>
      </c>
      <c r="BQ60" s="74">
        <v>1</v>
      </c>
      <c r="BR60" s="74">
        <v>1</v>
      </c>
      <c r="BS60" s="74">
        <v>1</v>
      </c>
      <c r="BT60" s="74">
        <v>1</v>
      </c>
      <c r="BU60" s="74">
        <v>1</v>
      </c>
      <c r="BV60" s="74">
        <v>1</v>
      </c>
      <c r="BW60" s="74">
        <v>1</v>
      </c>
      <c r="BX60" s="74">
        <v>1</v>
      </c>
      <c r="BY60" s="74">
        <v>1</v>
      </c>
      <c r="BZ60" s="74">
        <v>1</v>
      </c>
      <c r="CA60" s="78">
        <v>1</v>
      </c>
      <c r="CB60" s="74">
        <v>1</v>
      </c>
      <c r="CC60" s="74">
        <v>1</v>
      </c>
      <c r="CD60" s="74">
        <v>1</v>
      </c>
      <c r="CE60" s="74">
        <v>1</v>
      </c>
      <c r="CF60" s="74">
        <v>1</v>
      </c>
      <c r="CG60" s="74">
        <v>1</v>
      </c>
      <c r="CH60" s="74">
        <v>1</v>
      </c>
      <c r="CI60" s="74">
        <v>1</v>
      </c>
      <c r="CJ60" s="74">
        <v>1</v>
      </c>
      <c r="CK60" s="74">
        <v>1</v>
      </c>
      <c r="CL60" s="74">
        <v>1</v>
      </c>
      <c r="CM60" s="74">
        <v>1</v>
      </c>
      <c r="CN60" s="74">
        <v>1</v>
      </c>
      <c r="CO60" s="74">
        <v>1</v>
      </c>
      <c r="CP60" s="74">
        <v>1</v>
      </c>
      <c r="CQ60" s="74">
        <v>1</v>
      </c>
      <c r="CR60" s="74">
        <v>1</v>
      </c>
      <c r="CS60" s="74">
        <v>1</v>
      </c>
      <c r="CT60" s="74">
        <v>1</v>
      </c>
      <c r="CU60" s="74">
        <v>1</v>
      </c>
      <c r="CV60" s="74">
        <v>1</v>
      </c>
      <c r="CW60" s="74">
        <v>1</v>
      </c>
      <c r="CX60" s="74">
        <v>1</v>
      </c>
      <c r="CY60" s="78">
        <v>1</v>
      </c>
      <c r="CZ60" s="74">
        <v>1</v>
      </c>
      <c r="DA60" s="74">
        <v>1</v>
      </c>
      <c r="DB60" s="74">
        <v>1</v>
      </c>
      <c r="DC60" s="74">
        <v>1</v>
      </c>
      <c r="DD60" s="74">
        <v>1</v>
      </c>
      <c r="DE60" s="74">
        <v>1</v>
      </c>
      <c r="DF60" s="74">
        <v>1</v>
      </c>
      <c r="DG60" s="74">
        <v>1</v>
      </c>
      <c r="DH60" s="74">
        <v>1</v>
      </c>
      <c r="DI60" s="74">
        <v>1</v>
      </c>
      <c r="DJ60" s="74">
        <v>1</v>
      </c>
      <c r="DK60" s="74">
        <v>1</v>
      </c>
      <c r="DL60" s="74">
        <v>1</v>
      </c>
      <c r="DM60" s="74">
        <v>1</v>
      </c>
      <c r="DN60" s="74">
        <v>1</v>
      </c>
      <c r="DO60" s="74">
        <v>1</v>
      </c>
      <c r="DP60" s="74">
        <v>1</v>
      </c>
      <c r="DQ60" s="74">
        <v>1</v>
      </c>
      <c r="DR60" s="74">
        <v>1</v>
      </c>
      <c r="DS60" s="74">
        <v>1</v>
      </c>
      <c r="DT60" s="74">
        <v>1</v>
      </c>
      <c r="DU60" s="74">
        <v>1</v>
      </c>
      <c r="DV60" s="74">
        <v>1</v>
      </c>
      <c r="DW60" s="78">
        <v>1</v>
      </c>
      <c r="DX60" s="74">
        <v>1</v>
      </c>
      <c r="DY60" s="74">
        <v>1</v>
      </c>
      <c r="DZ60" s="74">
        <v>1</v>
      </c>
      <c r="EA60" s="74">
        <v>1</v>
      </c>
      <c r="EB60" s="74">
        <v>1</v>
      </c>
      <c r="EC60" s="74">
        <v>1</v>
      </c>
      <c r="ED60" s="74">
        <v>1</v>
      </c>
      <c r="EE60" s="74">
        <v>1</v>
      </c>
      <c r="EF60" s="74">
        <v>1</v>
      </c>
      <c r="EG60" s="74">
        <v>1</v>
      </c>
      <c r="EH60" s="74">
        <v>1</v>
      </c>
      <c r="EI60" s="74">
        <v>1</v>
      </c>
      <c r="EJ60" s="74">
        <v>1</v>
      </c>
      <c r="EK60" s="74">
        <v>1</v>
      </c>
      <c r="EL60" s="74">
        <v>1</v>
      </c>
      <c r="EM60" s="74">
        <v>1</v>
      </c>
      <c r="EN60" s="74">
        <v>1</v>
      </c>
      <c r="EO60" s="74">
        <v>1</v>
      </c>
      <c r="EP60" s="74">
        <v>1</v>
      </c>
      <c r="EQ60" s="74">
        <v>1</v>
      </c>
      <c r="ER60" s="74">
        <v>1</v>
      </c>
      <c r="ES60" s="74">
        <v>1</v>
      </c>
      <c r="ET60" s="74">
        <v>1</v>
      </c>
      <c r="EU60" s="78">
        <v>1</v>
      </c>
      <c r="EV60" s="74">
        <v>1</v>
      </c>
      <c r="EW60" s="74">
        <v>1</v>
      </c>
      <c r="EX60" s="74">
        <v>1</v>
      </c>
      <c r="EY60" s="74">
        <v>1</v>
      </c>
      <c r="EZ60" s="74">
        <v>1</v>
      </c>
      <c r="FA60" s="74">
        <v>1</v>
      </c>
      <c r="FB60" s="74">
        <v>1</v>
      </c>
      <c r="FC60" s="74">
        <v>1</v>
      </c>
      <c r="FD60" s="74">
        <v>1</v>
      </c>
      <c r="FE60" s="74">
        <v>1</v>
      </c>
      <c r="FF60" s="74">
        <v>1</v>
      </c>
      <c r="FG60" s="74">
        <v>1</v>
      </c>
      <c r="FH60" s="74">
        <v>1</v>
      </c>
      <c r="FI60" s="74">
        <v>1</v>
      </c>
      <c r="FJ60" s="74">
        <v>1</v>
      </c>
      <c r="FK60" s="74">
        <v>1</v>
      </c>
      <c r="FL60" s="74">
        <v>1</v>
      </c>
      <c r="FM60" s="74">
        <v>1</v>
      </c>
      <c r="FN60" s="74">
        <v>1</v>
      </c>
      <c r="FO60" s="74">
        <v>1</v>
      </c>
      <c r="FP60" s="74">
        <v>1</v>
      </c>
      <c r="FQ60" s="74">
        <v>1</v>
      </c>
      <c r="FR60" s="74">
        <v>1</v>
      </c>
      <c r="FS60" s="78">
        <v>1</v>
      </c>
      <c r="FT60" s="74">
        <v>1</v>
      </c>
      <c r="FU60" s="74">
        <v>1</v>
      </c>
      <c r="FV60" s="74">
        <v>1</v>
      </c>
      <c r="FW60" s="74">
        <v>1</v>
      </c>
      <c r="FX60" s="74">
        <v>1</v>
      </c>
      <c r="FY60" s="74">
        <v>1</v>
      </c>
      <c r="FZ60" s="74">
        <v>1</v>
      </c>
      <c r="GA60" s="74">
        <v>1</v>
      </c>
      <c r="GB60" s="74">
        <v>1</v>
      </c>
      <c r="GC60" s="74">
        <v>1</v>
      </c>
      <c r="GD60" s="74">
        <v>1</v>
      </c>
      <c r="GE60" s="74">
        <v>1</v>
      </c>
      <c r="GF60" s="74">
        <v>1</v>
      </c>
      <c r="GG60" s="74">
        <v>1</v>
      </c>
      <c r="GH60" s="74">
        <v>1</v>
      </c>
      <c r="GI60" s="74">
        <v>1</v>
      </c>
      <c r="GJ60" s="74">
        <v>1</v>
      </c>
      <c r="GK60" s="74">
        <v>1</v>
      </c>
      <c r="GL60" s="74">
        <v>1</v>
      </c>
      <c r="GM60" s="74">
        <v>1</v>
      </c>
      <c r="GN60" s="74">
        <v>1</v>
      </c>
      <c r="GO60" s="74">
        <v>1</v>
      </c>
      <c r="GP60" s="74">
        <v>1</v>
      </c>
      <c r="GQ60" s="78">
        <v>1</v>
      </c>
      <c r="GR60" s="74">
        <v>1</v>
      </c>
      <c r="GS60" s="74">
        <v>1</v>
      </c>
      <c r="GT60" s="74">
        <v>1</v>
      </c>
      <c r="GU60" s="74">
        <v>1</v>
      </c>
      <c r="GV60" s="74">
        <v>1</v>
      </c>
      <c r="GW60" s="74">
        <v>1</v>
      </c>
      <c r="GX60" s="74">
        <v>1</v>
      </c>
      <c r="GY60" s="74">
        <v>1</v>
      </c>
      <c r="GZ60" s="74">
        <v>1</v>
      </c>
      <c r="HA60" s="74">
        <v>1</v>
      </c>
      <c r="HB60" s="74">
        <v>1</v>
      </c>
      <c r="HC60" s="74">
        <v>1</v>
      </c>
      <c r="HD60" s="74">
        <v>1</v>
      </c>
      <c r="HE60" s="74">
        <v>1</v>
      </c>
      <c r="HF60" s="74">
        <v>1</v>
      </c>
      <c r="HG60" s="74">
        <v>1</v>
      </c>
      <c r="HH60" s="74">
        <v>1</v>
      </c>
      <c r="HI60" s="74">
        <v>1</v>
      </c>
      <c r="HJ60" s="74">
        <v>1</v>
      </c>
      <c r="HK60" s="74">
        <v>1</v>
      </c>
      <c r="HL60" s="74">
        <v>1</v>
      </c>
      <c r="HM60" s="74">
        <v>1</v>
      </c>
      <c r="HN60" s="74">
        <v>1</v>
      </c>
      <c r="HO60" s="74">
        <v>1</v>
      </c>
      <c r="HP60" s="74">
        <v>1</v>
      </c>
      <c r="HQ60" s="74">
        <v>1</v>
      </c>
      <c r="HR60" s="74">
        <v>1</v>
      </c>
      <c r="HS60" s="74">
        <v>1</v>
      </c>
      <c r="HT60" s="74">
        <v>1</v>
      </c>
      <c r="HU60" s="74">
        <v>1</v>
      </c>
      <c r="HV60" s="74">
        <v>1</v>
      </c>
      <c r="HW60" s="74">
        <v>1</v>
      </c>
      <c r="HX60" s="75">
        <v>1</v>
      </c>
    </row>
    <row r="61" spans="1:232" x14ac:dyDescent="0.2">
      <c r="B61" s="82" t="s">
        <v>107</v>
      </c>
      <c r="C61" s="80" t="s">
        <v>132</v>
      </c>
      <c r="D61" s="81">
        <v>5.2</v>
      </c>
      <c r="E61" s="80" t="s">
        <v>127</v>
      </c>
      <c r="F61" s="80" t="s">
        <v>122</v>
      </c>
      <c r="G61" s="78">
        <v>0</v>
      </c>
      <c r="H61" s="74">
        <v>0</v>
      </c>
      <c r="I61" s="74">
        <v>0</v>
      </c>
      <c r="J61" s="74">
        <v>0</v>
      </c>
      <c r="K61" s="74">
        <v>0</v>
      </c>
      <c r="L61" s="74">
        <v>0</v>
      </c>
      <c r="M61" s="74">
        <v>0</v>
      </c>
      <c r="N61" s="74">
        <v>0</v>
      </c>
      <c r="O61" s="74">
        <v>0</v>
      </c>
      <c r="P61" s="74">
        <v>0</v>
      </c>
      <c r="Q61" s="74">
        <v>0</v>
      </c>
      <c r="R61" s="74">
        <v>0</v>
      </c>
      <c r="S61" s="74">
        <v>0</v>
      </c>
      <c r="T61" s="74">
        <v>0</v>
      </c>
      <c r="U61" s="74">
        <v>0</v>
      </c>
      <c r="V61" s="74">
        <v>0</v>
      </c>
      <c r="W61" s="74">
        <v>0</v>
      </c>
      <c r="X61" s="74">
        <v>0</v>
      </c>
      <c r="Y61" s="74">
        <v>0</v>
      </c>
      <c r="Z61" s="74">
        <v>0</v>
      </c>
      <c r="AA61" s="74">
        <v>0</v>
      </c>
      <c r="AB61" s="74">
        <v>0</v>
      </c>
      <c r="AC61" s="74">
        <v>0</v>
      </c>
      <c r="AD61" s="74">
        <v>0</v>
      </c>
      <c r="AE61" s="78">
        <v>0</v>
      </c>
      <c r="AF61" s="74">
        <v>0</v>
      </c>
      <c r="AG61" s="74">
        <v>0</v>
      </c>
      <c r="AH61" s="74">
        <v>0</v>
      </c>
      <c r="AI61" s="74">
        <v>0</v>
      </c>
      <c r="AJ61" s="74">
        <v>0</v>
      </c>
      <c r="AK61" s="74">
        <v>0</v>
      </c>
      <c r="AL61" s="74">
        <v>0</v>
      </c>
      <c r="AM61" s="74">
        <v>0</v>
      </c>
      <c r="AN61" s="74">
        <v>0</v>
      </c>
      <c r="AO61" s="74">
        <v>0</v>
      </c>
      <c r="AP61" s="74">
        <v>0</v>
      </c>
      <c r="AQ61" s="74">
        <v>0</v>
      </c>
      <c r="AR61" s="74">
        <v>0</v>
      </c>
      <c r="AS61" s="74">
        <v>0</v>
      </c>
      <c r="AT61" s="74">
        <v>0</v>
      </c>
      <c r="AU61" s="74">
        <v>0</v>
      </c>
      <c r="AV61" s="74">
        <v>0</v>
      </c>
      <c r="AW61" s="74">
        <v>0</v>
      </c>
      <c r="AX61" s="74">
        <v>0</v>
      </c>
      <c r="AY61" s="74">
        <v>0</v>
      </c>
      <c r="AZ61" s="74">
        <v>0</v>
      </c>
      <c r="BA61" s="74">
        <v>1</v>
      </c>
      <c r="BB61" s="74">
        <v>1</v>
      </c>
      <c r="BC61" s="78">
        <v>1</v>
      </c>
      <c r="BD61" s="74">
        <v>1</v>
      </c>
      <c r="BE61" s="74">
        <v>1</v>
      </c>
      <c r="BF61" s="74">
        <v>1</v>
      </c>
      <c r="BG61" s="74">
        <v>1</v>
      </c>
      <c r="BH61" s="74">
        <v>1</v>
      </c>
      <c r="BI61" s="74">
        <v>1</v>
      </c>
      <c r="BJ61" s="74">
        <v>1</v>
      </c>
      <c r="BK61" s="74">
        <v>1</v>
      </c>
      <c r="BL61" s="74">
        <v>1</v>
      </c>
      <c r="BM61" s="74">
        <v>1</v>
      </c>
      <c r="BN61" s="74">
        <v>1</v>
      </c>
      <c r="BO61" s="74">
        <v>1</v>
      </c>
      <c r="BP61" s="74">
        <v>1</v>
      </c>
      <c r="BQ61" s="74">
        <v>1</v>
      </c>
      <c r="BR61" s="74">
        <v>1</v>
      </c>
      <c r="BS61" s="74">
        <v>1</v>
      </c>
      <c r="BT61" s="74">
        <v>1</v>
      </c>
      <c r="BU61" s="74">
        <v>1</v>
      </c>
      <c r="BV61" s="74">
        <v>1</v>
      </c>
      <c r="BW61" s="74">
        <v>1</v>
      </c>
      <c r="BX61" s="74">
        <v>1</v>
      </c>
      <c r="BY61" s="74">
        <v>1</v>
      </c>
      <c r="BZ61" s="74">
        <v>1</v>
      </c>
      <c r="CA61" s="78">
        <v>1</v>
      </c>
      <c r="CB61" s="74">
        <v>1</v>
      </c>
      <c r="CC61" s="74">
        <v>1</v>
      </c>
      <c r="CD61" s="74">
        <v>1</v>
      </c>
      <c r="CE61" s="74">
        <v>1</v>
      </c>
      <c r="CF61" s="74">
        <v>1</v>
      </c>
      <c r="CG61" s="74">
        <v>1</v>
      </c>
      <c r="CH61" s="74">
        <v>1</v>
      </c>
      <c r="CI61" s="74">
        <v>1</v>
      </c>
      <c r="CJ61" s="74">
        <v>1</v>
      </c>
      <c r="CK61" s="74">
        <v>1</v>
      </c>
      <c r="CL61" s="74">
        <v>1</v>
      </c>
      <c r="CM61" s="74">
        <v>1</v>
      </c>
      <c r="CN61" s="74">
        <v>1</v>
      </c>
      <c r="CO61" s="74">
        <v>1</v>
      </c>
      <c r="CP61" s="74">
        <v>1</v>
      </c>
      <c r="CQ61" s="74">
        <v>1</v>
      </c>
      <c r="CR61" s="74">
        <v>1</v>
      </c>
      <c r="CS61" s="74">
        <v>1</v>
      </c>
      <c r="CT61" s="74">
        <v>1</v>
      </c>
      <c r="CU61" s="74">
        <v>1</v>
      </c>
      <c r="CV61" s="74">
        <v>1</v>
      </c>
      <c r="CW61" s="74">
        <v>1</v>
      </c>
      <c r="CX61" s="74">
        <v>1</v>
      </c>
      <c r="CY61" s="78">
        <v>1</v>
      </c>
      <c r="CZ61" s="74">
        <v>1</v>
      </c>
      <c r="DA61" s="74">
        <v>1</v>
      </c>
      <c r="DB61" s="74">
        <v>1</v>
      </c>
      <c r="DC61" s="74">
        <v>1</v>
      </c>
      <c r="DD61" s="74">
        <v>1</v>
      </c>
      <c r="DE61" s="74">
        <v>1</v>
      </c>
      <c r="DF61" s="74">
        <v>1</v>
      </c>
      <c r="DG61" s="74">
        <v>1</v>
      </c>
      <c r="DH61" s="74">
        <v>1</v>
      </c>
      <c r="DI61" s="74">
        <v>1</v>
      </c>
      <c r="DJ61" s="74">
        <v>1</v>
      </c>
      <c r="DK61" s="74">
        <v>1</v>
      </c>
      <c r="DL61" s="74">
        <v>1</v>
      </c>
      <c r="DM61" s="74">
        <v>1</v>
      </c>
      <c r="DN61" s="74">
        <v>1</v>
      </c>
      <c r="DO61" s="74">
        <v>1</v>
      </c>
      <c r="DP61" s="74">
        <v>1</v>
      </c>
      <c r="DQ61" s="74">
        <v>1</v>
      </c>
      <c r="DR61" s="74">
        <v>1</v>
      </c>
      <c r="DS61" s="74">
        <v>1</v>
      </c>
      <c r="DT61" s="74">
        <v>1</v>
      </c>
      <c r="DU61" s="74">
        <v>1</v>
      </c>
      <c r="DV61" s="74">
        <v>1</v>
      </c>
      <c r="DW61" s="78">
        <v>1</v>
      </c>
      <c r="DX61" s="74">
        <v>1</v>
      </c>
      <c r="DY61" s="74">
        <v>1</v>
      </c>
      <c r="DZ61" s="74">
        <v>1</v>
      </c>
      <c r="EA61" s="74">
        <v>1</v>
      </c>
      <c r="EB61" s="74">
        <v>1</v>
      </c>
      <c r="EC61" s="74">
        <v>1</v>
      </c>
      <c r="ED61" s="74">
        <v>1</v>
      </c>
      <c r="EE61" s="74">
        <v>1</v>
      </c>
      <c r="EF61" s="74">
        <v>1</v>
      </c>
      <c r="EG61" s="74">
        <v>1</v>
      </c>
      <c r="EH61" s="74">
        <v>1</v>
      </c>
      <c r="EI61" s="74">
        <v>1</v>
      </c>
      <c r="EJ61" s="74">
        <v>1</v>
      </c>
      <c r="EK61" s="74">
        <v>1</v>
      </c>
      <c r="EL61" s="74">
        <v>1</v>
      </c>
      <c r="EM61" s="74">
        <v>1</v>
      </c>
      <c r="EN61" s="74">
        <v>1</v>
      </c>
      <c r="EO61" s="74">
        <v>1</v>
      </c>
      <c r="EP61" s="74">
        <v>1</v>
      </c>
      <c r="EQ61" s="74">
        <v>1</v>
      </c>
      <c r="ER61" s="74">
        <v>1</v>
      </c>
      <c r="ES61" s="74">
        <v>1</v>
      </c>
      <c r="ET61" s="74">
        <v>1</v>
      </c>
      <c r="EU61" s="78">
        <v>1</v>
      </c>
      <c r="EV61" s="74">
        <v>1</v>
      </c>
      <c r="EW61" s="74">
        <v>1</v>
      </c>
      <c r="EX61" s="74">
        <v>1</v>
      </c>
      <c r="EY61" s="74">
        <v>1</v>
      </c>
      <c r="EZ61" s="74">
        <v>1</v>
      </c>
      <c r="FA61" s="74">
        <v>1</v>
      </c>
      <c r="FB61" s="74">
        <v>1</v>
      </c>
      <c r="FC61" s="74">
        <v>1</v>
      </c>
      <c r="FD61" s="74">
        <v>1</v>
      </c>
      <c r="FE61" s="74">
        <v>1</v>
      </c>
      <c r="FF61" s="74">
        <v>1</v>
      </c>
      <c r="FG61" s="74">
        <v>1</v>
      </c>
      <c r="FH61" s="74">
        <v>1</v>
      </c>
      <c r="FI61" s="74">
        <v>1</v>
      </c>
      <c r="FJ61" s="74">
        <v>1</v>
      </c>
      <c r="FK61" s="74">
        <v>1</v>
      </c>
      <c r="FL61" s="74">
        <v>1</v>
      </c>
      <c r="FM61" s="74">
        <v>1</v>
      </c>
      <c r="FN61" s="74">
        <v>1</v>
      </c>
      <c r="FO61" s="74">
        <v>1</v>
      </c>
      <c r="FP61" s="74">
        <v>1</v>
      </c>
      <c r="FQ61" s="74">
        <v>1</v>
      </c>
      <c r="FR61" s="74">
        <v>1</v>
      </c>
      <c r="FS61" s="78">
        <v>1</v>
      </c>
      <c r="FT61" s="74">
        <v>1</v>
      </c>
      <c r="FU61" s="74">
        <v>1</v>
      </c>
      <c r="FV61" s="74">
        <v>1</v>
      </c>
      <c r="FW61" s="74">
        <v>1</v>
      </c>
      <c r="FX61" s="74">
        <v>1</v>
      </c>
      <c r="FY61" s="74">
        <v>1</v>
      </c>
      <c r="FZ61" s="74">
        <v>1</v>
      </c>
      <c r="GA61" s="74">
        <v>1</v>
      </c>
      <c r="GB61" s="74">
        <v>1</v>
      </c>
      <c r="GC61" s="74">
        <v>1</v>
      </c>
      <c r="GD61" s="74">
        <v>1</v>
      </c>
      <c r="GE61" s="74">
        <v>1</v>
      </c>
      <c r="GF61" s="74">
        <v>1</v>
      </c>
      <c r="GG61" s="74">
        <v>1</v>
      </c>
      <c r="GH61" s="74">
        <v>1</v>
      </c>
      <c r="GI61" s="74">
        <v>1</v>
      </c>
      <c r="GJ61" s="74">
        <v>1</v>
      </c>
      <c r="GK61" s="74">
        <v>1</v>
      </c>
      <c r="GL61" s="74">
        <v>1</v>
      </c>
      <c r="GM61" s="74">
        <v>1</v>
      </c>
      <c r="GN61" s="74">
        <v>1</v>
      </c>
      <c r="GO61" s="74">
        <v>1</v>
      </c>
      <c r="GP61" s="74">
        <v>1</v>
      </c>
      <c r="GQ61" s="78">
        <v>1</v>
      </c>
      <c r="GR61" s="74">
        <v>1</v>
      </c>
      <c r="GS61" s="74">
        <v>1</v>
      </c>
      <c r="GT61" s="74">
        <v>1</v>
      </c>
      <c r="GU61" s="74">
        <v>1</v>
      </c>
      <c r="GV61" s="74">
        <v>1</v>
      </c>
      <c r="GW61" s="74">
        <v>1</v>
      </c>
      <c r="GX61" s="74">
        <v>1</v>
      </c>
      <c r="GY61" s="74">
        <v>1</v>
      </c>
      <c r="GZ61" s="74">
        <v>1</v>
      </c>
      <c r="HA61" s="74">
        <v>1</v>
      </c>
      <c r="HB61" s="74">
        <v>1</v>
      </c>
      <c r="HC61" s="74">
        <v>1</v>
      </c>
      <c r="HD61" s="74">
        <v>1</v>
      </c>
      <c r="HE61" s="74">
        <v>1</v>
      </c>
      <c r="HF61" s="74">
        <v>1</v>
      </c>
      <c r="HG61" s="74">
        <v>1</v>
      </c>
      <c r="HH61" s="74">
        <v>1</v>
      </c>
      <c r="HI61" s="74">
        <v>1</v>
      </c>
      <c r="HJ61" s="74">
        <v>1</v>
      </c>
      <c r="HK61" s="74">
        <v>1</v>
      </c>
      <c r="HL61" s="74">
        <v>1</v>
      </c>
      <c r="HM61" s="74">
        <v>1</v>
      </c>
      <c r="HN61" s="74">
        <v>1</v>
      </c>
      <c r="HO61" s="74">
        <v>1</v>
      </c>
      <c r="HP61" s="74">
        <v>1</v>
      </c>
      <c r="HQ61" s="74">
        <v>1</v>
      </c>
      <c r="HR61" s="74">
        <v>1</v>
      </c>
      <c r="HS61" s="74">
        <v>1</v>
      </c>
      <c r="HT61" s="74">
        <v>1</v>
      </c>
      <c r="HU61" s="74">
        <v>1</v>
      </c>
      <c r="HV61" s="74">
        <v>1</v>
      </c>
      <c r="HW61" s="74">
        <v>1</v>
      </c>
      <c r="HX61" s="75">
        <v>1</v>
      </c>
    </row>
    <row r="62" spans="1:232" x14ac:dyDescent="0.2">
      <c r="A62" s="27" t="s">
        <v>122</v>
      </c>
      <c r="B62" s="128" t="s">
        <v>108</v>
      </c>
      <c r="C62" s="107" t="s">
        <v>131</v>
      </c>
      <c r="D62" s="108">
        <v>5.2</v>
      </c>
      <c r="E62" s="107" t="s">
        <v>127</v>
      </c>
      <c r="F62" s="107" t="s">
        <v>124</v>
      </c>
      <c r="G62" s="78">
        <v>1</v>
      </c>
      <c r="H62" s="74">
        <v>1</v>
      </c>
      <c r="I62" s="74">
        <v>1</v>
      </c>
      <c r="J62" s="74">
        <v>1</v>
      </c>
      <c r="K62" s="74">
        <v>1</v>
      </c>
      <c r="L62" s="74">
        <v>1</v>
      </c>
      <c r="M62" s="74">
        <v>1</v>
      </c>
      <c r="N62" s="74">
        <v>1</v>
      </c>
      <c r="O62" s="74">
        <v>1</v>
      </c>
      <c r="P62" s="74">
        <v>1</v>
      </c>
      <c r="Q62" s="74">
        <v>1</v>
      </c>
      <c r="R62" s="74">
        <v>1</v>
      </c>
      <c r="S62" s="74">
        <v>1</v>
      </c>
      <c r="T62" s="74">
        <v>1</v>
      </c>
      <c r="U62" s="74">
        <v>1</v>
      </c>
      <c r="V62" s="74">
        <v>1</v>
      </c>
      <c r="W62" s="74">
        <v>1</v>
      </c>
      <c r="X62" s="74">
        <v>1</v>
      </c>
      <c r="Y62" s="74">
        <v>1</v>
      </c>
      <c r="Z62" s="74">
        <v>1</v>
      </c>
      <c r="AA62" s="74">
        <v>1</v>
      </c>
      <c r="AB62" s="74">
        <v>1</v>
      </c>
      <c r="AC62" s="74">
        <v>1</v>
      </c>
      <c r="AD62" s="74">
        <v>1</v>
      </c>
      <c r="AE62" s="78">
        <v>1</v>
      </c>
      <c r="AF62" s="74">
        <v>1</v>
      </c>
      <c r="AG62" s="74">
        <v>1</v>
      </c>
      <c r="AH62" s="74">
        <v>1</v>
      </c>
      <c r="AI62" s="74">
        <v>1</v>
      </c>
      <c r="AJ62" s="74">
        <v>1</v>
      </c>
      <c r="AK62" s="74">
        <v>1</v>
      </c>
      <c r="AL62" s="74">
        <v>1</v>
      </c>
      <c r="AM62" s="74">
        <v>1</v>
      </c>
      <c r="AN62" s="74">
        <v>1</v>
      </c>
      <c r="AO62" s="74">
        <v>1</v>
      </c>
      <c r="AP62" s="74">
        <v>1</v>
      </c>
      <c r="AQ62" s="74">
        <v>1</v>
      </c>
      <c r="AR62" s="74">
        <v>1</v>
      </c>
      <c r="AS62" s="74">
        <v>1</v>
      </c>
      <c r="AT62" s="74">
        <v>1</v>
      </c>
      <c r="AU62" s="74">
        <v>1</v>
      </c>
      <c r="AV62" s="74">
        <v>1</v>
      </c>
      <c r="AW62" s="74">
        <v>1</v>
      </c>
      <c r="AX62" s="74">
        <v>1</v>
      </c>
      <c r="AY62" s="74">
        <v>1</v>
      </c>
      <c r="AZ62" s="74">
        <v>1</v>
      </c>
      <c r="BA62" s="74">
        <v>0</v>
      </c>
      <c r="BB62" s="74">
        <v>0</v>
      </c>
      <c r="BC62" s="78">
        <v>0</v>
      </c>
      <c r="BD62" s="74">
        <v>0</v>
      </c>
      <c r="BE62" s="74">
        <v>0</v>
      </c>
      <c r="BF62" s="74">
        <v>0</v>
      </c>
      <c r="BG62" s="74">
        <v>0</v>
      </c>
      <c r="BH62" s="74">
        <v>0</v>
      </c>
      <c r="BI62" s="74">
        <v>0</v>
      </c>
      <c r="BJ62" s="74">
        <v>0</v>
      </c>
      <c r="BK62" s="74">
        <v>0</v>
      </c>
      <c r="BL62" s="74">
        <v>0</v>
      </c>
      <c r="BM62" s="74">
        <v>0</v>
      </c>
      <c r="BN62" s="74">
        <v>0</v>
      </c>
      <c r="BO62" s="74">
        <v>0</v>
      </c>
      <c r="BP62" s="74">
        <v>0</v>
      </c>
      <c r="BQ62" s="74">
        <v>0</v>
      </c>
      <c r="BR62" s="74">
        <v>0</v>
      </c>
      <c r="BS62" s="74">
        <v>0</v>
      </c>
      <c r="BT62" s="74">
        <v>0</v>
      </c>
      <c r="BU62" s="74">
        <v>0</v>
      </c>
      <c r="BV62" s="74">
        <v>0</v>
      </c>
      <c r="BW62" s="74">
        <v>0</v>
      </c>
      <c r="BX62" s="74">
        <v>0</v>
      </c>
      <c r="BY62" s="74">
        <v>0</v>
      </c>
      <c r="BZ62" s="74">
        <v>0</v>
      </c>
      <c r="CA62" s="78">
        <v>0</v>
      </c>
      <c r="CB62" s="74">
        <v>0</v>
      </c>
      <c r="CC62" s="74">
        <v>0</v>
      </c>
      <c r="CD62" s="74">
        <v>0</v>
      </c>
      <c r="CE62" s="74">
        <v>0</v>
      </c>
      <c r="CF62" s="74">
        <v>0</v>
      </c>
      <c r="CG62" s="74">
        <v>0</v>
      </c>
      <c r="CH62" s="74">
        <v>0</v>
      </c>
      <c r="CI62" s="74">
        <v>0</v>
      </c>
      <c r="CJ62" s="74">
        <v>0</v>
      </c>
      <c r="CK62" s="74">
        <v>0</v>
      </c>
      <c r="CL62" s="74">
        <v>0</v>
      </c>
      <c r="CM62" s="74">
        <v>0</v>
      </c>
      <c r="CN62" s="74">
        <v>0</v>
      </c>
      <c r="CO62" s="74">
        <v>0</v>
      </c>
      <c r="CP62" s="74">
        <v>0</v>
      </c>
      <c r="CQ62" s="74">
        <v>0</v>
      </c>
      <c r="CR62" s="74">
        <v>0</v>
      </c>
      <c r="CS62" s="74">
        <v>0</v>
      </c>
      <c r="CT62" s="74">
        <v>0</v>
      </c>
      <c r="CU62" s="74">
        <v>0</v>
      </c>
      <c r="CV62" s="74">
        <v>0</v>
      </c>
      <c r="CW62" s="74">
        <v>0</v>
      </c>
      <c r="CX62" s="74">
        <v>0</v>
      </c>
      <c r="CY62" s="78">
        <v>0</v>
      </c>
      <c r="CZ62" s="74">
        <v>0</v>
      </c>
      <c r="DA62" s="74">
        <v>0</v>
      </c>
      <c r="DB62" s="74">
        <v>0</v>
      </c>
      <c r="DC62" s="74">
        <v>0</v>
      </c>
      <c r="DD62" s="74">
        <v>0</v>
      </c>
      <c r="DE62" s="74">
        <v>0</v>
      </c>
      <c r="DF62" s="74">
        <v>0</v>
      </c>
      <c r="DG62" s="74">
        <v>0</v>
      </c>
      <c r="DH62" s="74">
        <v>0</v>
      </c>
      <c r="DI62" s="74">
        <v>0</v>
      </c>
      <c r="DJ62" s="74">
        <v>0</v>
      </c>
      <c r="DK62" s="74">
        <v>0</v>
      </c>
      <c r="DL62" s="74">
        <v>0</v>
      </c>
      <c r="DM62" s="74">
        <v>0</v>
      </c>
      <c r="DN62" s="74">
        <v>0</v>
      </c>
      <c r="DO62" s="74">
        <v>0</v>
      </c>
      <c r="DP62" s="74">
        <v>0</v>
      </c>
      <c r="DQ62" s="74">
        <v>0</v>
      </c>
      <c r="DR62" s="74">
        <v>0</v>
      </c>
      <c r="DS62" s="74">
        <v>0</v>
      </c>
      <c r="DT62" s="74">
        <v>0</v>
      </c>
      <c r="DU62" s="74">
        <v>0</v>
      </c>
      <c r="DV62" s="74">
        <v>0</v>
      </c>
      <c r="DW62" s="78">
        <v>0</v>
      </c>
      <c r="DX62" s="74">
        <v>0</v>
      </c>
      <c r="DY62" s="74">
        <v>0</v>
      </c>
      <c r="DZ62" s="74">
        <v>0</v>
      </c>
      <c r="EA62" s="74">
        <v>0</v>
      </c>
      <c r="EB62" s="74">
        <v>0</v>
      </c>
      <c r="EC62" s="74">
        <v>0</v>
      </c>
      <c r="ED62" s="74">
        <v>0</v>
      </c>
      <c r="EE62" s="74">
        <v>0</v>
      </c>
      <c r="EF62" s="74">
        <v>0</v>
      </c>
      <c r="EG62" s="74">
        <v>0</v>
      </c>
      <c r="EH62" s="74">
        <v>0</v>
      </c>
      <c r="EI62" s="74">
        <v>0</v>
      </c>
      <c r="EJ62" s="74">
        <v>0</v>
      </c>
      <c r="EK62" s="74">
        <v>0</v>
      </c>
      <c r="EL62" s="74">
        <v>0</v>
      </c>
      <c r="EM62" s="74">
        <v>0</v>
      </c>
      <c r="EN62" s="74">
        <v>0</v>
      </c>
      <c r="EO62" s="74">
        <v>0</v>
      </c>
      <c r="EP62" s="74">
        <v>0</v>
      </c>
      <c r="EQ62" s="74">
        <v>0</v>
      </c>
      <c r="ER62" s="74">
        <v>0</v>
      </c>
      <c r="ES62" s="74">
        <v>0</v>
      </c>
      <c r="ET62" s="74">
        <v>0</v>
      </c>
      <c r="EU62" s="78">
        <v>0</v>
      </c>
      <c r="EV62" s="74">
        <v>0</v>
      </c>
      <c r="EW62" s="74">
        <v>0</v>
      </c>
      <c r="EX62" s="74">
        <v>0</v>
      </c>
      <c r="EY62" s="74">
        <v>0</v>
      </c>
      <c r="EZ62" s="74">
        <v>0</v>
      </c>
      <c r="FA62" s="74">
        <v>0</v>
      </c>
      <c r="FB62" s="74">
        <v>0</v>
      </c>
      <c r="FC62" s="74">
        <v>0</v>
      </c>
      <c r="FD62" s="74">
        <v>0</v>
      </c>
      <c r="FE62" s="74">
        <v>0</v>
      </c>
      <c r="FF62" s="74">
        <v>0</v>
      </c>
      <c r="FG62" s="74">
        <v>0</v>
      </c>
      <c r="FH62" s="74">
        <v>0</v>
      </c>
      <c r="FI62" s="74">
        <v>0</v>
      </c>
      <c r="FJ62" s="74">
        <v>0</v>
      </c>
      <c r="FK62" s="74">
        <v>0</v>
      </c>
      <c r="FL62" s="74">
        <v>0</v>
      </c>
      <c r="FM62" s="74">
        <v>0</v>
      </c>
      <c r="FN62" s="74">
        <v>0</v>
      </c>
      <c r="FO62" s="74">
        <v>0</v>
      </c>
      <c r="FP62" s="74">
        <v>0</v>
      </c>
      <c r="FQ62" s="74">
        <v>0</v>
      </c>
      <c r="FR62" s="74">
        <v>0</v>
      </c>
      <c r="FS62" s="78">
        <v>0</v>
      </c>
      <c r="FT62" s="74">
        <v>0</v>
      </c>
      <c r="FU62" s="74">
        <v>0</v>
      </c>
      <c r="FV62" s="74">
        <v>0</v>
      </c>
      <c r="FW62" s="74">
        <v>0</v>
      </c>
      <c r="FX62" s="74">
        <v>0</v>
      </c>
      <c r="FY62" s="74">
        <v>0</v>
      </c>
      <c r="FZ62" s="74">
        <v>0</v>
      </c>
      <c r="GA62" s="74">
        <v>0</v>
      </c>
      <c r="GB62" s="74">
        <v>0</v>
      </c>
      <c r="GC62" s="74">
        <v>0</v>
      </c>
      <c r="GD62" s="74">
        <v>0</v>
      </c>
      <c r="GE62" s="74">
        <v>0</v>
      </c>
      <c r="GF62" s="74">
        <v>0</v>
      </c>
      <c r="GG62" s="74">
        <v>0</v>
      </c>
      <c r="GH62" s="74">
        <v>0</v>
      </c>
      <c r="GI62" s="74">
        <v>0</v>
      </c>
      <c r="GJ62" s="74">
        <v>0</v>
      </c>
      <c r="GK62" s="74">
        <v>0</v>
      </c>
      <c r="GL62" s="74">
        <v>0</v>
      </c>
      <c r="GM62" s="74">
        <v>0</v>
      </c>
      <c r="GN62" s="74">
        <v>0</v>
      </c>
      <c r="GO62" s="74">
        <v>0</v>
      </c>
      <c r="GP62" s="74">
        <v>0</v>
      </c>
      <c r="GQ62" s="78">
        <v>0</v>
      </c>
      <c r="GR62" s="74">
        <v>0</v>
      </c>
      <c r="GS62" s="74">
        <v>0</v>
      </c>
      <c r="GT62" s="74">
        <v>0</v>
      </c>
      <c r="GU62" s="74">
        <v>0</v>
      </c>
      <c r="GV62" s="74">
        <v>0</v>
      </c>
      <c r="GW62" s="74">
        <v>0</v>
      </c>
      <c r="GX62" s="74">
        <v>0</v>
      </c>
      <c r="GY62" s="74">
        <v>0</v>
      </c>
      <c r="GZ62" s="74">
        <v>0</v>
      </c>
      <c r="HA62" s="74">
        <v>0</v>
      </c>
      <c r="HB62" s="74">
        <v>0</v>
      </c>
      <c r="HC62" s="74">
        <v>0</v>
      </c>
      <c r="HD62" s="74">
        <v>0</v>
      </c>
      <c r="HE62" s="74">
        <v>0</v>
      </c>
      <c r="HF62" s="74">
        <v>0</v>
      </c>
      <c r="HG62" s="74">
        <v>0</v>
      </c>
      <c r="HH62" s="74">
        <v>0</v>
      </c>
      <c r="HI62" s="74">
        <v>0</v>
      </c>
      <c r="HJ62" s="74">
        <v>0</v>
      </c>
      <c r="HK62" s="74">
        <v>0</v>
      </c>
      <c r="HL62" s="74">
        <v>0</v>
      </c>
      <c r="HM62" s="74">
        <v>0</v>
      </c>
      <c r="HN62" s="74">
        <v>0</v>
      </c>
      <c r="HO62" s="74">
        <v>0</v>
      </c>
      <c r="HP62" s="74">
        <v>0</v>
      </c>
      <c r="HQ62" s="74">
        <v>0</v>
      </c>
      <c r="HR62" s="74">
        <v>0</v>
      </c>
      <c r="HS62" s="74">
        <v>0</v>
      </c>
      <c r="HT62" s="74">
        <v>0</v>
      </c>
      <c r="HU62" s="74">
        <v>0</v>
      </c>
      <c r="HV62" s="74">
        <v>0</v>
      </c>
      <c r="HW62" s="74">
        <v>0</v>
      </c>
      <c r="HX62" s="75">
        <v>0</v>
      </c>
    </row>
    <row r="63" spans="1:232" x14ac:dyDescent="0.2">
      <c r="B63" s="80" t="s">
        <v>109</v>
      </c>
      <c r="C63" s="80" t="s">
        <v>131</v>
      </c>
      <c r="D63" s="81">
        <v>5.2</v>
      </c>
      <c r="E63" s="80" t="s">
        <v>127</v>
      </c>
      <c r="F63" s="80" t="s">
        <v>123</v>
      </c>
      <c r="G63" s="78">
        <v>1</v>
      </c>
      <c r="H63" s="74">
        <v>1</v>
      </c>
      <c r="I63" s="74">
        <v>1</v>
      </c>
      <c r="J63" s="74">
        <v>1</v>
      </c>
      <c r="K63" s="74">
        <v>1</v>
      </c>
      <c r="L63" s="74">
        <v>1</v>
      </c>
      <c r="M63" s="74">
        <v>1</v>
      </c>
      <c r="N63" s="74">
        <v>1</v>
      </c>
      <c r="O63" s="74">
        <v>1</v>
      </c>
      <c r="P63" s="74">
        <v>1</v>
      </c>
      <c r="Q63" s="74">
        <v>1</v>
      </c>
      <c r="R63" s="74">
        <v>1</v>
      </c>
      <c r="S63" s="74">
        <v>1</v>
      </c>
      <c r="T63" s="74">
        <v>1</v>
      </c>
      <c r="U63" s="74">
        <v>1</v>
      </c>
      <c r="V63" s="74">
        <v>1</v>
      </c>
      <c r="W63" s="74">
        <v>1</v>
      </c>
      <c r="X63" s="74">
        <v>1</v>
      </c>
      <c r="Y63" s="74">
        <v>1</v>
      </c>
      <c r="Z63" s="74">
        <v>1</v>
      </c>
      <c r="AA63" s="74">
        <v>1</v>
      </c>
      <c r="AB63" s="74">
        <v>1</v>
      </c>
      <c r="AC63" s="74">
        <v>1</v>
      </c>
      <c r="AD63" s="74">
        <v>1</v>
      </c>
      <c r="AE63" s="78">
        <v>1</v>
      </c>
      <c r="AF63" s="74">
        <v>1</v>
      </c>
      <c r="AG63" s="74">
        <v>1</v>
      </c>
      <c r="AH63" s="74">
        <v>1</v>
      </c>
      <c r="AI63" s="74">
        <v>1</v>
      </c>
      <c r="AJ63" s="74">
        <v>1</v>
      </c>
      <c r="AK63" s="74">
        <v>1</v>
      </c>
      <c r="AL63" s="74">
        <v>1</v>
      </c>
      <c r="AM63" s="74">
        <v>1</v>
      </c>
      <c r="AN63" s="74">
        <v>1</v>
      </c>
      <c r="AO63" s="74">
        <v>1</v>
      </c>
      <c r="AP63" s="74">
        <v>1</v>
      </c>
      <c r="AQ63" s="74">
        <v>1</v>
      </c>
      <c r="AR63" s="74">
        <v>1</v>
      </c>
      <c r="AS63" s="74">
        <v>1</v>
      </c>
      <c r="AT63" s="74">
        <v>1</v>
      </c>
      <c r="AU63" s="74">
        <v>1</v>
      </c>
      <c r="AV63" s="74">
        <v>1</v>
      </c>
      <c r="AW63" s="74">
        <v>1</v>
      </c>
      <c r="AX63" s="74">
        <v>1</v>
      </c>
      <c r="AY63" s="74">
        <v>1</v>
      </c>
      <c r="AZ63" s="74">
        <v>1</v>
      </c>
      <c r="BA63" s="74">
        <v>1</v>
      </c>
      <c r="BB63" s="74">
        <v>1</v>
      </c>
      <c r="BC63" s="78">
        <v>1</v>
      </c>
      <c r="BD63" s="74">
        <v>1</v>
      </c>
      <c r="BE63" s="74">
        <v>1</v>
      </c>
      <c r="BF63" s="74">
        <v>1</v>
      </c>
      <c r="BG63" s="74">
        <v>1</v>
      </c>
      <c r="BH63" s="74">
        <v>1</v>
      </c>
      <c r="BI63" s="74">
        <v>1</v>
      </c>
      <c r="BJ63" s="74">
        <v>1</v>
      </c>
      <c r="BK63" s="74">
        <v>1</v>
      </c>
      <c r="BL63" s="74">
        <v>1</v>
      </c>
      <c r="BM63" s="74">
        <v>1</v>
      </c>
      <c r="BN63" s="74">
        <v>1</v>
      </c>
      <c r="BO63" s="74">
        <v>1</v>
      </c>
      <c r="BP63" s="74">
        <v>1</v>
      </c>
      <c r="BQ63" s="74">
        <v>1</v>
      </c>
      <c r="BR63" s="74">
        <v>1</v>
      </c>
      <c r="BS63" s="74">
        <v>1</v>
      </c>
      <c r="BT63" s="74">
        <v>1</v>
      </c>
      <c r="BU63" s="74">
        <v>1</v>
      </c>
      <c r="BV63" s="74">
        <v>1</v>
      </c>
      <c r="BW63" s="74">
        <v>1</v>
      </c>
      <c r="BX63" s="74">
        <v>1</v>
      </c>
      <c r="BY63" s="74">
        <v>1</v>
      </c>
      <c r="BZ63" s="74">
        <v>1</v>
      </c>
      <c r="CA63" s="78">
        <v>1</v>
      </c>
      <c r="CB63" s="74">
        <v>1</v>
      </c>
      <c r="CC63" s="74">
        <v>1</v>
      </c>
      <c r="CD63" s="74">
        <v>1</v>
      </c>
      <c r="CE63" s="74">
        <v>1</v>
      </c>
      <c r="CF63" s="74">
        <v>1</v>
      </c>
      <c r="CG63" s="74">
        <v>1</v>
      </c>
      <c r="CH63" s="74">
        <v>1</v>
      </c>
      <c r="CI63" s="74">
        <v>1</v>
      </c>
      <c r="CJ63" s="74">
        <v>1</v>
      </c>
      <c r="CK63" s="74">
        <v>1</v>
      </c>
      <c r="CL63" s="74">
        <v>1</v>
      </c>
      <c r="CM63" s="74">
        <v>1</v>
      </c>
      <c r="CN63" s="74">
        <v>1</v>
      </c>
      <c r="CO63" s="74">
        <v>1</v>
      </c>
      <c r="CP63" s="74">
        <v>1</v>
      </c>
      <c r="CQ63" s="74">
        <v>1</v>
      </c>
      <c r="CR63" s="74">
        <v>1</v>
      </c>
      <c r="CS63" s="74">
        <v>1</v>
      </c>
      <c r="CT63" s="74">
        <v>1</v>
      </c>
      <c r="CU63" s="74">
        <v>1</v>
      </c>
      <c r="CV63" s="74">
        <v>1</v>
      </c>
      <c r="CW63" s="74">
        <v>1</v>
      </c>
      <c r="CX63" s="74">
        <v>1</v>
      </c>
      <c r="CY63" s="78">
        <v>1</v>
      </c>
      <c r="CZ63" s="74">
        <v>1</v>
      </c>
      <c r="DA63" s="74">
        <v>1</v>
      </c>
      <c r="DB63" s="74">
        <v>1</v>
      </c>
      <c r="DC63" s="74">
        <v>1</v>
      </c>
      <c r="DD63" s="74">
        <v>1</v>
      </c>
      <c r="DE63" s="74">
        <v>1</v>
      </c>
      <c r="DF63" s="74">
        <v>1</v>
      </c>
      <c r="DG63" s="74">
        <v>1</v>
      </c>
      <c r="DH63" s="74">
        <v>1</v>
      </c>
      <c r="DI63" s="74">
        <v>1</v>
      </c>
      <c r="DJ63" s="74">
        <v>1</v>
      </c>
      <c r="DK63" s="74">
        <v>1</v>
      </c>
      <c r="DL63" s="74">
        <v>1</v>
      </c>
      <c r="DM63" s="74">
        <v>1</v>
      </c>
      <c r="DN63" s="74">
        <v>1</v>
      </c>
      <c r="DO63" s="74">
        <v>1</v>
      </c>
      <c r="DP63" s="74">
        <v>1</v>
      </c>
      <c r="DQ63" s="74">
        <v>1</v>
      </c>
      <c r="DR63" s="74">
        <v>1</v>
      </c>
      <c r="DS63" s="74">
        <v>1</v>
      </c>
      <c r="DT63" s="74">
        <v>1</v>
      </c>
      <c r="DU63" s="74">
        <v>1</v>
      </c>
      <c r="DV63" s="74">
        <v>1</v>
      </c>
      <c r="DW63" s="78">
        <v>1</v>
      </c>
      <c r="DX63" s="74">
        <v>1</v>
      </c>
      <c r="DY63" s="74">
        <v>1</v>
      </c>
      <c r="DZ63" s="74">
        <v>1</v>
      </c>
      <c r="EA63" s="74">
        <v>1</v>
      </c>
      <c r="EB63" s="74">
        <v>1</v>
      </c>
      <c r="EC63" s="74">
        <v>1</v>
      </c>
      <c r="ED63" s="74">
        <v>1</v>
      </c>
      <c r="EE63" s="74">
        <v>1</v>
      </c>
      <c r="EF63" s="74">
        <v>1</v>
      </c>
      <c r="EG63" s="74">
        <v>1</v>
      </c>
      <c r="EH63" s="74">
        <v>1</v>
      </c>
      <c r="EI63" s="74">
        <v>1</v>
      </c>
      <c r="EJ63" s="74">
        <v>1</v>
      </c>
      <c r="EK63" s="74">
        <v>1</v>
      </c>
      <c r="EL63" s="74">
        <v>1</v>
      </c>
      <c r="EM63" s="74">
        <v>1</v>
      </c>
      <c r="EN63" s="74">
        <v>1</v>
      </c>
      <c r="EO63" s="74">
        <v>1</v>
      </c>
      <c r="EP63" s="74">
        <v>1</v>
      </c>
      <c r="EQ63" s="74">
        <v>1</v>
      </c>
      <c r="ER63" s="74">
        <v>1</v>
      </c>
      <c r="ES63" s="74">
        <v>1</v>
      </c>
      <c r="ET63" s="74">
        <v>1</v>
      </c>
      <c r="EU63" s="78">
        <v>1</v>
      </c>
      <c r="EV63" s="74">
        <v>1</v>
      </c>
      <c r="EW63" s="74">
        <v>1</v>
      </c>
      <c r="EX63" s="74">
        <v>1</v>
      </c>
      <c r="EY63" s="74">
        <v>1</v>
      </c>
      <c r="EZ63" s="74">
        <v>1</v>
      </c>
      <c r="FA63" s="74">
        <v>1</v>
      </c>
      <c r="FB63" s="74">
        <v>1</v>
      </c>
      <c r="FC63" s="74">
        <v>1</v>
      </c>
      <c r="FD63" s="74">
        <v>1</v>
      </c>
      <c r="FE63" s="74">
        <v>1</v>
      </c>
      <c r="FF63" s="74">
        <v>1</v>
      </c>
      <c r="FG63" s="74">
        <v>1</v>
      </c>
      <c r="FH63" s="74">
        <v>1</v>
      </c>
      <c r="FI63" s="74">
        <v>1</v>
      </c>
      <c r="FJ63" s="74">
        <v>1</v>
      </c>
      <c r="FK63" s="74">
        <v>1</v>
      </c>
      <c r="FL63" s="74">
        <v>1</v>
      </c>
      <c r="FM63" s="74">
        <v>1</v>
      </c>
      <c r="FN63" s="74">
        <v>1</v>
      </c>
      <c r="FO63" s="74">
        <v>1</v>
      </c>
      <c r="FP63" s="74">
        <v>1</v>
      </c>
      <c r="FQ63" s="74">
        <v>1</v>
      </c>
      <c r="FR63" s="74">
        <v>1</v>
      </c>
      <c r="FS63" s="78">
        <v>1</v>
      </c>
      <c r="FT63" s="74">
        <v>1</v>
      </c>
      <c r="FU63" s="74">
        <v>1</v>
      </c>
      <c r="FV63" s="74">
        <v>1</v>
      </c>
      <c r="FW63" s="74">
        <v>1</v>
      </c>
      <c r="FX63" s="74">
        <v>1</v>
      </c>
      <c r="FY63" s="74">
        <v>1</v>
      </c>
      <c r="FZ63" s="74">
        <v>1</v>
      </c>
      <c r="GA63" s="74">
        <v>1</v>
      </c>
      <c r="GB63" s="74">
        <v>1</v>
      </c>
      <c r="GC63" s="74">
        <v>1</v>
      </c>
      <c r="GD63" s="74">
        <v>1</v>
      </c>
      <c r="GE63" s="74">
        <v>1</v>
      </c>
      <c r="GF63" s="74">
        <v>1</v>
      </c>
      <c r="GG63" s="74">
        <v>1</v>
      </c>
      <c r="GH63" s="74">
        <v>1</v>
      </c>
      <c r="GI63" s="74">
        <v>1</v>
      </c>
      <c r="GJ63" s="74">
        <v>1</v>
      </c>
      <c r="GK63" s="74">
        <v>1</v>
      </c>
      <c r="GL63" s="74">
        <v>1</v>
      </c>
      <c r="GM63" s="74">
        <v>1</v>
      </c>
      <c r="GN63" s="74">
        <v>1</v>
      </c>
      <c r="GO63" s="74">
        <v>1</v>
      </c>
      <c r="GP63" s="74">
        <v>1</v>
      </c>
      <c r="GQ63" s="78">
        <v>1</v>
      </c>
      <c r="GR63" s="74">
        <v>1</v>
      </c>
      <c r="GS63" s="74">
        <v>1</v>
      </c>
      <c r="GT63" s="74">
        <v>1</v>
      </c>
      <c r="GU63" s="74">
        <v>1</v>
      </c>
      <c r="GV63" s="74">
        <v>1</v>
      </c>
      <c r="GW63" s="74">
        <v>1</v>
      </c>
      <c r="GX63" s="74">
        <v>1</v>
      </c>
      <c r="GY63" s="74">
        <v>1</v>
      </c>
      <c r="GZ63" s="74">
        <v>1</v>
      </c>
      <c r="HA63" s="74">
        <v>1</v>
      </c>
      <c r="HB63" s="74">
        <v>1</v>
      </c>
      <c r="HC63" s="74">
        <v>1</v>
      </c>
      <c r="HD63" s="74">
        <v>1</v>
      </c>
      <c r="HE63" s="74">
        <v>1</v>
      </c>
      <c r="HF63" s="74">
        <v>1</v>
      </c>
      <c r="HG63" s="74">
        <v>1</v>
      </c>
      <c r="HH63" s="74">
        <v>1</v>
      </c>
      <c r="HI63" s="74">
        <v>1</v>
      </c>
      <c r="HJ63" s="74">
        <v>1</v>
      </c>
      <c r="HK63" s="74">
        <v>1</v>
      </c>
      <c r="HL63" s="74">
        <v>1</v>
      </c>
      <c r="HM63" s="74">
        <v>1</v>
      </c>
      <c r="HN63" s="74">
        <v>1</v>
      </c>
      <c r="HO63" s="74">
        <v>1</v>
      </c>
      <c r="HP63" s="74">
        <v>1</v>
      </c>
      <c r="HQ63" s="74">
        <v>1</v>
      </c>
      <c r="HR63" s="74">
        <v>1</v>
      </c>
      <c r="HS63" s="74">
        <v>1</v>
      </c>
      <c r="HT63" s="74">
        <v>1</v>
      </c>
      <c r="HU63" s="74">
        <v>1</v>
      </c>
      <c r="HV63" s="74">
        <v>1</v>
      </c>
      <c r="HW63" s="74">
        <v>1</v>
      </c>
      <c r="HX63" s="75">
        <v>1</v>
      </c>
    </row>
    <row r="64" spans="1:232" x14ac:dyDescent="0.2">
      <c r="B64" s="80" t="s">
        <v>110</v>
      </c>
      <c r="C64" s="80" t="s">
        <v>131</v>
      </c>
      <c r="D64" s="81">
        <v>5.2</v>
      </c>
      <c r="E64" s="80" t="s">
        <v>127</v>
      </c>
      <c r="F64" s="80" t="s">
        <v>123</v>
      </c>
      <c r="G64" s="78">
        <v>1</v>
      </c>
      <c r="H64" s="74">
        <v>1</v>
      </c>
      <c r="I64" s="74">
        <v>1</v>
      </c>
      <c r="J64" s="74">
        <v>1</v>
      </c>
      <c r="K64" s="74">
        <v>1</v>
      </c>
      <c r="L64" s="74">
        <v>1</v>
      </c>
      <c r="M64" s="74">
        <v>1</v>
      </c>
      <c r="N64" s="74">
        <v>1</v>
      </c>
      <c r="O64" s="74">
        <v>1</v>
      </c>
      <c r="P64" s="74">
        <v>1</v>
      </c>
      <c r="Q64" s="74">
        <v>1</v>
      </c>
      <c r="R64" s="74">
        <v>1</v>
      </c>
      <c r="S64" s="74">
        <v>1</v>
      </c>
      <c r="T64" s="74">
        <v>1</v>
      </c>
      <c r="U64" s="74">
        <v>1</v>
      </c>
      <c r="V64" s="74">
        <v>1</v>
      </c>
      <c r="W64" s="74">
        <v>1</v>
      </c>
      <c r="X64" s="74">
        <v>1</v>
      </c>
      <c r="Y64" s="74">
        <v>1</v>
      </c>
      <c r="Z64" s="74">
        <v>1</v>
      </c>
      <c r="AA64" s="74">
        <v>1</v>
      </c>
      <c r="AB64" s="74">
        <v>1</v>
      </c>
      <c r="AC64" s="74">
        <v>1</v>
      </c>
      <c r="AD64" s="74">
        <v>1</v>
      </c>
      <c r="AE64" s="78">
        <v>1</v>
      </c>
      <c r="AF64" s="74">
        <v>1</v>
      </c>
      <c r="AG64" s="74">
        <v>1</v>
      </c>
      <c r="AH64" s="74">
        <v>1</v>
      </c>
      <c r="AI64" s="74">
        <v>1</v>
      </c>
      <c r="AJ64" s="74">
        <v>1</v>
      </c>
      <c r="AK64" s="74">
        <v>1</v>
      </c>
      <c r="AL64" s="74">
        <v>1</v>
      </c>
      <c r="AM64" s="74">
        <v>1</v>
      </c>
      <c r="AN64" s="74">
        <v>1</v>
      </c>
      <c r="AO64" s="74">
        <v>1</v>
      </c>
      <c r="AP64" s="74">
        <v>1</v>
      </c>
      <c r="AQ64" s="74">
        <v>1</v>
      </c>
      <c r="AR64" s="74">
        <v>1</v>
      </c>
      <c r="AS64" s="74">
        <v>1</v>
      </c>
      <c r="AT64" s="74">
        <v>1</v>
      </c>
      <c r="AU64" s="74">
        <v>1</v>
      </c>
      <c r="AV64" s="74">
        <v>1</v>
      </c>
      <c r="AW64" s="74">
        <v>1</v>
      </c>
      <c r="AX64" s="74">
        <v>1</v>
      </c>
      <c r="AY64" s="74">
        <v>1</v>
      </c>
      <c r="AZ64" s="74">
        <v>1</v>
      </c>
      <c r="BA64" s="74">
        <v>1</v>
      </c>
      <c r="BB64" s="74">
        <v>1</v>
      </c>
      <c r="BC64" s="78">
        <v>1</v>
      </c>
      <c r="BD64" s="74">
        <v>1</v>
      </c>
      <c r="BE64" s="74">
        <v>1</v>
      </c>
      <c r="BF64" s="74">
        <v>1</v>
      </c>
      <c r="BG64" s="74">
        <v>1</v>
      </c>
      <c r="BH64" s="74">
        <v>1</v>
      </c>
      <c r="BI64" s="74">
        <v>1</v>
      </c>
      <c r="BJ64" s="74">
        <v>1</v>
      </c>
      <c r="BK64" s="74">
        <v>1</v>
      </c>
      <c r="BL64" s="74">
        <v>1</v>
      </c>
      <c r="BM64" s="74">
        <v>1</v>
      </c>
      <c r="BN64" s="74">
        <v>1</v>
      </c>
      <c r="BO64" s="74">
        <v>1</v>
      </c>
      <c r="BP64" s="74">
        <v>1</v>
      </c>
      <c r="BQ64" s="74">
        <v>1</v>
      </c>
      <c r="BR64" s="74">
        <v>1</v>
      </c>
      <c r="BS64" s="74">
        <v>1</v>
      </c>
      <c r="BT64" s="74">
        <v>1</v>
      </c>
      <c r="BU64" s="74">
        <v>1</v>
      </c>
      <c r="BV64" s="74">
        <v>1</v>
      </c>
      <c r="BW64" s="74">
        <v>1</v>
      </c>
      <c r="BX64" s="74">
        <v>1</v>
      </c>
      <c r="BY64" s="74">
        <v>1</v>
      </c>
      <c r="BZ64" s="74">
        <v>1</v>
      </c>
      <c r="CA64" s="78">
        <v>1</v>
      </c>
      <c r="CB64" s="74">
        <v>1</v>
      </c>
      <c r="CC64" s="74">
        <v>1</v>
      </c>
      <c r="CD64" s="74">
        <v>1</v>
      </c>
      <c r="CE64" s="74">
        <v>1</v>
      </c>
      <c r="CF64" s="74">
        <v>1</v>
      </c>
      <c r="CG64" s="74">
        <v>1</v>
      </c>
      <c r="CH64" s="74">
        <v>1</v>
      </c>
      <c r="CI64" s="74">
        <v>1</v>
      </c>
      <c r="CJ64" s="74">
        <v>1</v>
      </c>
      <c r="CK64" s="74">
        <v>1</v>
      </c>
      <c r="CL64" s="74">
        <v>1</v>
      </c>
      <c r="CM64" s="74">
        <v>1</v>
      </c>
      <c r="CN64" s="74">
        <v>1</v>
      </c>
      <c r="CO64" s="74">
        <v>1</v>
      </c>
      <c r="CP64" s="74">
        <v>1</v>
      </c>
      <c r="CQ64" s="74">
        <v>1</v>
      </c>
      <c r="CR64" s="74">
        <v>1</v>
      </c>
      <c r="CS64" s="74">
        <v>1</v>
      </c>
      <c r="CT64" s="74">
        <v>1</v>
      </c>
      <c r="CU64" s="74">
        <v>1</v>
      </c>
      <c r="CV64" s="74">
        <v>1</v>
      </c>
      <c r="CW64" s="74">
        <v>1</v>
      </c>
      <c r="CX64" s="74">
        <v>1</v>
      </c>
      <c r="CY64" s="78">
        <v>1</v>
      </c>
      <c r="CZ64" s="74">
        <v>1</v>
      </c>
      <c r="DA64" s="74">
        <v>1</v>
      </c>
      <c r="DB64" s="74">
        <v>1</v>
      </c>
      <c r="DC64" s="74">
        <v>1</v>
      </c>
      <c r="DD64" s="74">
        <v>1</v>
      </c>
      <c r="DE64" s="74">
        <v>1</v>
      </c>
      <c r="DF64" s="74">
        <v>1</v>
      </c>
      <c r="DG64" s="74">
        <v>1</v>
      </c>
      <c r="DH64" s="74">
        <v>1</v>
      </c>
      <c r="DI64" s="74">
        <v>1</v>
      </c>
      <c r="DJ64" s="74">
        <v>1</v>
      </c>
      <c r="DK64" s="74">
        <v>1</v>
      </c>
      <c r="DL64" s="74">
        <v>1</v>
      </c>
      <c r="DM64" s="74">
        <v>1</v>
      </c>
      <c r="DN64" s="74">
        <v>1</v>
      </c>
      <c r="DO64" s="74">
        <v>1</v>
      </c>
      <c r="DP64" s="74">
        <v>1</v>
      </c>
      <c r="DQ64" s="74">
        <v>1</v>
      </c>
      <c r="DR64" s="74">
        <v>1</v>
      </c>
      <c r="DS64" s="74">
        <v>1</v>
      </c>
      <c r="DT64" s="74">
        <v>1</v>
      </c>
      <c r="DU64" s="74">
        <v>1</v>
      </c>
      <c r="DV64" s="74">
        <v>1</v>
      </c>
      <c r="DW64" s="78">
        <v>1</v>
      </c>
      <c r="DX64" s="74">
        <v>1</v>
      </c>
      <c r="DY64" s="74">
        <v>1</v>
      </c>
      <c r="DZ64" s="74">
        <v>1</v>
      </c>
      <c r="EA64" s="74">
        <v>1</v>
      </c>
      <c r="EB64" s="74">
        <v>1</v>
      </c>
      <c r="EC64" s="74">
        <v>1</v>
      </c>
      <c r="ED64" s="74">
        <v>1</v>
      </c>
      <c r="EE64" s="74">
        <v>1</v>
      </c>
      <c r="EF64" s="74">
        <v>1</v>
      </c>
      <c r="EG64" s="74">
        <v>1</v>
      </c>
      <c r="EH64" s="74">
        <v>1</v>
      </c>
      <c r="EI64" s="74">
        <v>1</v>
      </c>
      <c r="EJ64" s="74">
        <v>1</v>
      </c>
      <c r="EK64" s="74">
        <v>1</v>
      </c>
      <c r="EL64" s="74">
        <v>1</v>
      </c>
      <c r="EM64" s="74">
        <v>1</v>
      </c>
      <c r="EN64" s="74">
        <v>1</v>
      </c>
      <c r="EO64" s="74">
        <v>1</v>
      </c>
      <c r="EP64" s="74">
        <v>1</v>
      </c>
      <c r="EQ64" s="74">
        <v>1</v>
      </c>
      <c r="ER64" s="74">
        <v>1</v>
      </c>
      <c r="ES64" s="74">
        <v>1</v>
      </c>
      <c r="ET64" s="74">
        <v>1</v>
      </c>
      <c r="EU64" s="78">
        <v>1</v>
      </c>
      <c r="EV64" s="74">
        <v>1</v>
      </c>
      <c r="EW64" s="74">
        <v>1</v>
      </c>
      <c r="EX64" s="74">
        <v>1</v>
      </c>
      <c r="EY64" s="74">
        <v>1</v>
      </c>
      <c r="EZ64" s="74">
        <v>1</v>
      </c>
      <c r="FA64" s="74">
        <v>1</v>
      </c>
      <c r="FB64" s="74">
        <v>1</v>
      </c>
      <c r="FC64" s="74">
        <v>1</v>
      </c>
      <c r="FD64" s="74">
        <v>1</v>
      </c>
      <c r="FE64" s="74">
        <v>1</v>
      </c>
      <c r="FF64" s="74">
        <v>1</v>
      </c>
      <c r="FG64" s="74">
        <v>1</v>
      </c>
      <c r="FH64" s="74">
        <v>1</v>
      </c>
      <c r="FI64" s="74">
        <v>1</v>
      </c>
      <c r="FJ64" s="74">
        <v>1</v>
      </c>
      <c r="FK64" s="74">
        <v>1</v>
      </c>
      <c r="FL64" s="74">
        <v>1</v>
      </c>
      <c r="FM64" s="74">
        <v>1</v>
      </c>
      <c r="FN64" s="74">
        <v>1</v>
      </c>
      <c r="FO64" s="74">
        <v>1</v>
      </c>
      <c r="FP64" s="74">
        <v>1</v>
      </c>
      <c r="FQ64" s="74">
        <v>1</v>
      </c>
      <c r="FR64" s="74">
        <v>1</v>
      </c>
      <c r="FS64" s="78">
        <v>1</v>
      </c>
      <c r="FT64" s="74">
        <v>1</v>
      </c>
      <c r="FU64" s="74">
        <v>1</v>
      </c>
      <c r="FV64" s="74">
        <v>1</v>
      </c>
      <c r="FW64" s="74">
        <v>1</v>
      </c>
      <c r="FX64" s="74">
        <v>1</v>
      </c>
      <c r="FY64" s="74">
        <v>1</v>
      </c>
      <c r="FZ64" s="74">
        <v>1</v>
      </c>
      <c r="GA64" s="74">
        <v>1</v>
      </c>
      <c r="GB64" s="74">
        <v>1</v>
      </c>
      <c r="GC64" s="74">
        <v>1</v>
      </c>
      <c r="GD64" s="74">
        <v>1</v>
      </c>
      <c r="GE64" s="74">
        <v>1</v>
      </c>
      <c r="GF64" s="74">
        <v>1</v>
      </c>
      <c r="GG64" s="74">
        <v>1</v>
      </c>
      <c r="GH64" s="74">
        <v>1</v>
      </c>
      <c r="GI64" s="74">
        <v>1</v>
      </c>
      <c r="GJ64" s="74">
        <v>1</v>
      </c>
      <c r="GK64" s="74">
        <v>1</v>
      </c>
      <c r="GL64" s="74">
        <v>1</v>
      </c>
      <c r="GM64" s="74">
        <v>1</v>
      </c>
      <c r="GN64" s="74">
        <v>1</v>
      </c>
      <c r="GO64" s="74">
        <v>1</v>
      </c>
      <c r="GP64" s="74">
        <v>1</v>
      </c>
      <c r="GQ64" s="78">
        <v>1</v>
      </c>
      <c r="GR64" s="74">
        <v>1</v>
      </c>
      <c r="GS64" s="74">
        <v>1</v>
      </c>
      <c r="GT64" s="74">
        <v>1</v>
      </c>
      <c r="GU64" s="74">
        <v>1</v>
      </c>
      <c r="GV64" s="74">
        <v>1</v>
      </c>
      <c r="GW64" s="74">
        <v>1</v>
      </c>
      <c r="GX64" s="74">
        <v>1</v>
      </c>
      <c r="GY64" s="74">
        <v>1</v>
      </c>
      <c r="GZ64" s="74">
        <v>1</v>
      </c>
      <c r="HA64" s="74">
        <v>1</v>
      </c>
      <c r="HB64" s="74">
        <v>1</v>
      </c>
      <c r="HC64" s="74">
        <v>1</v>
      </c>
      <c r="HD64" s="74">
        <v>1</v>
      </c>
      <c r="HE64" s="74">
        <v>1</v>
      </c>
      <c r="HF64" s="74">
        <v>1</v>
      </c>
      <c r="HG64" s="74">
        <v>1</v>
      </c>
      <c r="HH64" s="74">
        <v>1</v>
      </c>
      <c r="HI64" s="74">
        <v>1</v>
      </c>
      <c r="HJ64" s="74">
        <v>1</v>
      </c>
      <c r="HK64" s="74">
        <v>1</v>
      </c>
      <c r="HL64" s="74">
        <v>1</v>
      </c>
      <c r="HM64" s="74">
        <v>1</v>
      </c>
      <c r="HN64" s="74">
        <v>1</v>
      </c>
      <c r="HO64" s="74">
        <v>1</v>
      </c>
      <c r="HP64" s="74">
        <v>1</v>
      </c>
      <c r="HQ64" s="74">
        <v>1</v>
      </c>
      <c r="HR64" s="74">
        <v>1</v>
      </c>
      <c r="HS64" s="74">
        <v>1</v>
      </c>
      <c r="HT64" s="74">
        <v>1</v>
      </c>
      <c r="HU64" s="74">
        <v>1</v>
      </c>
      <c r="HV64" s="74">
        <v>1</v>
      </c>
      <c r="HW64" s="74">
        <v>1</v>
      </c>
      <c r="HX64" s="75">
        <v>1</v>
      </c>
    </row>
    <row r="65" spans="2:232" x14ac:dyDescent="0.2">
      <c r="B65" s="80" t="s">
        <v>111</v>
      </c>
      <c r="C65" s="80" t="s">
        <v>131</v>
      </c>
      <c r="D65" s="81">
        <v>5.2</v>
      </c>
      <c r="E65" s="80" t="s">
        <v>127</v>
      </c>
      <c r="F65" s="80" t="s">
        <v>123</v>
      </c>
      <c r="G65" s="78">
        <v>1</v>
      </c>
      <c r="H65" s="74">
        <v>1</v>
      </c>
      <c r="I65" s="74">
        <v>1</v>
      </c>
      <c r="J65" s="74">
        <v>1</v>
      </c>
      <c r="K65" s="74">
        <v>1</v>
      </c>
      <c r="L65" s="74">
        <v>1</v>
      </c>
      <c r="M65" s="74">
        <v>1</v>
      </c>
      <c r="N65" s="74">
        <v>1</v>
      </c>
      <c r="O65" s="74">
        <v>1</v>
      </c>
      <c r="P65" s="74">
        <v>1</v>
      </c>
      <c r="Q65" s="74">
        <v>1</v>
      </c>
      <c r="R65" s="74">
        <v>1</v>
      </c>
      <c r="S65" s="74">
        <v>1</v>
      </c>
      <c r="T65" s="74">
        <v>1</v>
      </c>
      <c r="U65" s="74">
        <v>1</v>
      </c>
      <c r="V65" s="74">
        <v>1</v>
      </c>
      <c r="W65" s="74">
        <v>1</v>
      </c>
      <c r="X65" s="74">
        <v>1</v>
      </c>
      <c r="Y65" s="74">
        <v>1</v>
      </c>
      <c r="Z65" s="74">
        <v>1</v>
      </c>
      <c r="AA65" s="74">
        <v>1</v>
      </c>
      <c r="AB65" s="74">
        <v>1</v>
      </c>
      <c r="AC65" s="74">
        <v>1</v>
      </c>
      <c r="AD65" s="74">
        <v>1</v>
      </c>
      <c r="AE65" s="78">
        <v>1</v>
      </c>
      <c r="AF65" s="74">
        <v>1</v>
      </c>
      <c r="AG65" s="74">
        <v>1</v>
      </c>
      <c r="AH65" s="74">
        <v>1</v>
      </c>
      <c r="AI65" s="74">
        <v>1</v>
      </c>
      <c r="AJ65" s="74">
        <v>1</v>
      </c>
      <c r="AK65" s="74">
        <v>1</v>
      </c>
      <c r="AL65" s="74">
        <v>1</v>
      </c>
      <c r="AM65" s="74">
        <v>1</v>
      </c>
      <c r="AN65" s="74">
        <v>1</v>
      </c>
      <c r="AO65" s="74">
        <v>1</v>
      </c>
      <c r="AP65" s="74">
        <v>1</v>
      </c>
      <c r="AQ65" s="74">
        <v>1</v>
      </c>
      <c r="AR65" s="74">
        <v>1</v>
      </c>
      <c r="AS65" s="74">
        <v>1</v>
      </c>
      <c r="AT65" s="74">
        <v>1</v>
      </c>
      <c r="AU65" s="74">
        <v>1</v>
      </c>
      <c r="AV65" s="74">
        <v>1</v>
      </c>
      <c r="AW65" s="74">
        <v>1</v>
      </c>
      <c r="AX65" s="74">
        <v>1</v>
      </c>
      <c r="AY65" s="74">
        <v>1</v>
      </c>
      <c r="AZ65" s="74">
        <v>1</v>
      </c>
      <c r="BA65" s="74">
        <v>1</v>
      </c>
      <c r="BB65" s="74">
        <v>1</v>
      </c>
      <c r="BC65" s="78">
        <v>1</v>
      </c>
      <c r="BD65" s="74">
        <v>1</v>
      </c>
      <c r="BE65" s="74">
        <v>1</v>
      </c>
      <c r="BF65" s="74">
        <v>1</v>
      </c>
      <c r="BG65" s="74">
        <v>1</v>
      </c>
      <c r="BH65" s="74">
        <v>1</v>
      </c>
      <c r="BI65" s="74">
        <v>1</v>
      </c>
      <c r="BJ65" s="74">
        <v>1</v>
      </c>
      <c r="BK65" s="74">
        <v>1</v>
      </c>
      <c r="BL65" s="74">
        <v>1</v>
      </c>
      <c r="BM65" s="74">
        <v>1</v>
      </c>
      <c r="BN65" s="74">
        <v>1</v>
      </c>
      <c r="BO65" s="74">
        <v>1</v>
      </c>
      <c r="BP65" s="74">
        <v>1</v>
      </c>
      <c r="BQ65" s="74">
        <v>1</v>
      </c>
      <c r="BR65" s="74">
        <v>1</v>
      </c>
      <c r="BS65" s="74">
        <v>1</v>
      </c>
      <c r="BT65" s="74">
        <v>1</v>
      </c>
      <c r="BU65" s="74">
        <v>1</v>
      </c>
      <c r="BV65" s="74">
        <v>1</v>
      </c>
      <c r="BW65" s="74">
        <v>1</v>
      </c>
      <c r="BX65" s="74">
        <v>1</v>
      </c>
      <c r="BY65" s="74">
        <v>1</v>
      </c>
      <c r="BZ65" s="74">
        <v>1</v>
      </c>
      <c r="CA65" s="78">
        <v>1</v>
      </c>
      <c r="CB65" s="74">
        <v>1</v>
      </c>
      <c r="CC65" s="74">
        <v>1</v>
      </c>
      <c r="CD65" s="74">
        <v>1</v>
      </c>
      <c r="CE65" s="74">
        <v>1</v>
      </c>
      <c r="CF65" s="74">
        <v>1</v>
      </c>
      <c r="CG65" s="74">
        <v>1</v>
      </c>
      <c r="CH65" s="74">
        <v>1</v>
      </c>
      <c r="CI65" s="74">
        <v>1</v>
      </c>
      <c r="CJ65" s="74">
        <v>1</v>
      </c>
      <c r="CK65" s="74">
        <v>1</v>
      </c>
      <c r="CL65" s="74">
        <v>1</v>
      </c>
      <c r="CM65" s="74">
        <v>1</v>
      </c>
      <c r="CN65" s="74">
        <v>1</v>
      </c>
      <c r="CO65" s="74">
        <v>1</v>
      </c>
      <c r="CP65" s="74">
        <v>1</v>
      </c>
      <c r="CQ65" s="74">
        <v>1</v>
      </c>
      <c r="CR65" s="74">
        <v>1</v>
      </c>
      <c r="CS65" s="74">
        <v>1</v>
      </c>
      <c r="CT65" s="74">
        <v>1</v>
      </c>
      <c r="CU65" s="74">
        <v>1</v>
      </c>
      <c r="CV65" s="74">
        <v>1</v>
      </c>
      <c r="CW65" s="74">
        <v>1</v>
      </c>
      <c r="CX65" s="74">
        <v>1</v>
      </c>
      <c r="CY65" s="78">
        <v>1</v>
      </c>
      <c r="CZ65" s="74">
        <v>1</v>
      </c>
      <c r="DA65" s="74">
        <v>1</v>
      </c>
      <c r="DB65" s="74">
        <v>1</v>
      </c>
      <c r="DC65" s="74">
        <v>1</v>
      </c>
      <c r="DD65" s="74">
        <v>1</v>
      </c>
      <c r="DE65" s="74">
        <v>1</v>
      </c>
      <c r="DF65" s="74">
        <v>1</v>
      </c>
      <c r="DG65" s="74">
        <v>1</v>
      </c>
      <c r="DH65" s="74">
        <v>1</v>
      </c>
      <c r="DI65" s="74">
        <v>1</v>
      </c>
      <c r="DJ65" s="74">
        <v>1</v>
      </c>
      <c r="DK65" s="74">
        <v>1</v>
      </c>
      <c r="DL65" s="74">
        <v>1</v>
      </c>
      <c r="DM65" s="74">
        <v>1</v>
      </c>
      <c r="DN65" s="74">
        <v>1</v>
      </c>
      <c r="DO65" s="74">
        <v>1</v>
      </c>
      <c r="DP65" s="74">
        <v>1</v>
      </c>
      <c r="DQ65" s="74">
        <v>1</v>
      </c>
      <c r="DR65" s="74">
        <v>1</v>
      </c>
      <c r="DS65" s="74">
        <v>1</v>
      </c>
      <c r="DT65" s="74">
        <v>1</v>
      </c>
      <c r="DU65" s="74">
        <v>1</v>
      </c>
      <c r="DV65" s="74">
        <v>1</v>
      </c>
      <c r="DW65" s="78">
        <v>1</v>
      </c>
      <c r="DX65" s="74">
        <v>1</v>
      </c>
      <c r="DY65" s="74">
        <v>1</v>
      </c>
      <c r="DZ65" s="74">
        <v>1</v>
      </c>
      <c r="EA65" s="74">
        <v>1</v>
      </c>
      <c r="EB65" s="74">
        <v>1</v>
      </c>
      <c r="EC65" s="74">
        <v>1</v>
      </c>
      <c r="ED65" s="74">
        <v>1</v>
      </c>
      <c r="EE65" s="74">
        <v>1</v>
      </c>
      <c r="EF65" s="74">
        <v>1</v>
      </c>
      <c r="EG65" s="74">
        <v>1</v>
      </c>
      <c r="EH65" s="74">
        <v>1</v>
      </c>
      <c r="EI65" s="74">
        <v>1</v>
      </c>
      <c r="EJ65" s="74">
        <v>1</v>
      </c>
      <c r="EK65" s="74">
        <v>1</v>
      </c>
      <c r="EL65" s="74">
        <v>1</v>
      </c>
      <c r="EM65" s="74">
        <v>1</v>
      </c>
      <c r="EN65" s="74">
        <v>1</v>
      </c>
      <c r="EO65" s="74">
        <v>1</v>
      </c>
      <c r="EP65" s="74">
        <v>1</v>
      </c>
      <c r="EQ65" s="74">
        <v>1</v>
      </c>
      <c r="ER65" s="74">
        <v>1</v>
      </c>
      <c r="ES65" s="74">
        <v>1</v>
      </c>
      <c r="ET65" s="74">
        <v>1</v>
      </c>
      <c r="EU65" s="78">
        <v>1</v>
      </c>
      <c r="EV65" s="74">
        <v>1</v>
      </c>
      <c r="EW65" s="74">
        <v>1</v>
      </c>
      <c r="EX65" s="74">
        <v>1</v>
      </c>
      <c r="EY65" s="74">
        <v>1</v>
      </c>
      <c r="EZ65" s="74">
        <v>1</v>
      </c>
      <c r="FA65" s="74">
        <v>1</v>
      </c>
      <c r="FB65" s="74">
        <v>1</v>
      </c>
      <c r="FC65" s="74">
        <v>1</v>
      </c>
      <c r="FD65" s="74">
        <v>1</v>
      </c>
      <c r="FE65" s="74">
        <v>1</v>
      </c>
      <c r="FF65" s="74">
        <v>1</v>
      </c>
      <c r="FG65" s="74">
        <v>1</v>
      </c>
      <c r="FH65" s="74">
        <v>1</v>
      </c>
      <c r="FI65" s="74">
        <v>1</v>
      </c>
      <c r="FJ65" s="74">
        <v>1</v>
      </c>
      <c r="FK65" s="74">
        <v>1</v>
      </c>
      <c r="FL65" s="74">
        <v>1</v>
      </c>
      <c r="FM65" s="74">
        <v>1</v>
      </c>
      <c r="FN65" s="74">
        <v>1</v>
      </c>
      <c r="FO65" s="74">
        <v>1</v>
      </c>
      <c r="FP65" s="74">
        <v>1</v>
      </c>
      <c r="FQ65" s="74">
        <v>1</v>
      </c>
      <c r="FR65" s="74">
        <v>1</v>
      </c>
      <c r="FS65" s="78">
        <v>1</v>
      </c>
      <c r="FT65" s="74">
        <v>1</v>
      </c>
      <c r="FU65" s="74">
        <v>1</v>
      </c>
      <c r="FV65" s="74">
        <v>1</v>
      </c>
      <c r="FW65" s="74">
        <v>1</v>
      </c>
      <c r="FX65" s="74">
        <v>1</v>
      </c>
      <c r="FY65" s="74">
        <v>1</v>
      </c>
      <c r="FZ65" s="74">
        <v>1</v>
      </c>
      <c r="GA65" s="74">
        <v>1</v>
      </c>
      <c r="GB65" s="74">
        <v>1</v>
      </c>
      <c r="GC65" s="74">
        <v>1</v>
      </c>
      <c r="GD65" s="74">
        <v>1</v>
      </c>
      <c r="GE65" s="74">
        <v>1</v>
      </c>
      <c r="GF65" s="74">
        <v>1</v>
      </c>
      <c r="GG65" s="74">
        <v>1</v>
      </c>
      <c r="GH65" s="74">
        <v>1</v>
      </c>
      <c r="GI65" s="74">
        <v>1</v>
      </c>
      <c r="GJ65" s="74">
        <v>1</v>
      </c>
      <c r="GK65" s="74">
        <v>1</v>
      </c>
      <c r="GL65" s="74">
        <v>1</v>
      </c>
      <c r="GM65" s="74">
        <v>1</v>
      </c>
      <c r="GN65" s="74">
        <v>1</v>
      </c>
      <c r="GO65" s="74">
        <v>1</v>
      </c>
      <c r="GP65" s="74">
        <v>1</v>
      </c>
      <c r="GQ65" s="78">
        <v>1</v>
      </c>
      <c r="GR65" s="74">
        <v>1</v>
      </c>
      <c r="GS65" s="74">
        <v>1</v>
      </c>
      <c r="GT65" s="74">
        <v>1</v>
      </c>
      <c r="GU65" s="74">
        <v>1</v>
      </c>
      <c r="GV65" s="74">
        <v>1</v>
      </c>
      <c r="GW65" s="74">
        <v>1</v>
      </c>
      <c r="GX65" s="74">
        <v>1</v>
      </c>
      <c r="GY65" s="74">
        <v>1</v>
      </c>
      <c r="GZ65" s="74">
        <v>1</v>
      </c>
      <c r="HA65" s="74">
        <v>1</v>
      </c>
      <c r="HB65" s="74">
        <v>1</v>
      </c>
      <c r="HC65" s="74">
        <v>1</v>
      </c>
      <c r="HD65" s="74">
        <v>1</v>
      </c>
      <c r="HE65" s="74">
        <v>1</v>
      </c>
      <c r="HF65" s="74">
        <v>1</v>
      </c>
      <c r="HG65" s="74">
        <v>1</v>
      </c>
      <c r="HH65" s="74">
        <v>1</v>
      </c>
      <c r="HI65" s="74">
        <v>1</v>
      </c>
      <c r="HJ65" s="74">
        <v>1</v>
      </c>
      <c r="HK65" s="74">
        <v>1</v>
      </c>
      <c r="HL65" s="74">
        <v>1</v>
      </c>
      <c r="HM65" s="74">
        <v>1</v>
      </c>
      <c r="HN65" s="74">
        <v>1</v>
      </c>
      <c r="HO65" s="74">
        <v>1</v>
      </c>
      <c r="HP65" s="74">
        <v>1</v>
      </c>
      <c r="HQ65" s="74">
        <v>1</v>
      </c>
      <c r="HR65" s="74">
        <v>1</v>
      </c>
      <c r="HS65" s="74">
        <v>1</v>
      </c>
      <c r="HT65" s="74">
        <v>1</v>
      </c>
      <c r="HU65" s="74">
        <v>1</v>
      </c>
      <c r="HV65" s="74">
        <v>1</v>
      </c>
      <c r="HW65" s="74">
        <v>1</v>
      </c>
      <c r="HX65" s="75">
        <v>1</v>
      </c>
    </row>
    <row r="66" spans="2:232" x14ac:dyDescent="0.2">
      <c r="B66" s="80" t="s">
        <v>112</v>
      </c>
      <c r="C66" s="80" t="s">
        <v>131</v>
      </c>
      <c r="D66" s="81">
        <v>5.2</v>
      </c>
      <c r="E66" s="80" t="s">
        <v>127</v>
      </c>
      <c r="F66" s="80" t="s">
        <v>123</v>
      </c>
      <c r="G66" s="78">
        <v>1</v>
      </c>
      <c r="H66" s="74">
        <v>1</v>
      </c>
      <c r="I66" s="74">
        <v>1</v>
      </c>
      <c r="J66" s="74">
        <v>1</v>
      </c>
      <c r="K66" s="74">
        <v>1</v>
      </c>
      <c r="L66" s="74">
        <v>1</v>
      </c>
      <c r="M66" s="74">
        <v>1</v>
      </c>
      <c r="N66" s="74">
        <v>1</v>
      </c>
      <c r="O66" s="74">
        <v>1</v>
      </c>
      <c r="P66" s="74">
        <v>1</v>
      </c>
      <c r="Q66" s="74">
        <v>1</v>
      </c>
      <c r="R66" s="74">
        <v>1</v>
      </c>
      <c r="S66" s="74">
        <v>1</v>
      </c>
      <c r="T66" s="74">
        <v>1</v>
      </c>
      <c r="U66" s="74">
        <v>1</v>
      </c>
      <c r="V66" s="74">
        <v>1</v>
      </c>
      <c r="W66" s="74">
        <v>1</v>
      </c>
      <c r="X66" s="74">
        <v>1</v>
      </c>
      <c r="Y66" s="74">
        <v>1</v>
      </c>
      <c r="Z66" s="74">
        <v>1</v>
      </c>
      <c r="AA66" s="74">
        <v>1</v>
      </c>
      <c r="AB66" s="74">
        <v>1</v>
      </c>
      <c r="AC66" s="74">
        <v>1</v>
      </c>
      <c r="AD66" s="74">
        <v>1</v>
      </c>
      <c r="AE66" s="78">
        <v>1</v>
      </c>
      <c r="AF66" s="74">
        <v>1</v>
      </c>
      <c r="AG66" s="74">
        <v>1</v>
      </c>
      <c r="AH66" s="74">
        <v>1</v>
      </c>
      <c r="AI66" s="74">
        <v>1</v>
      </c>
      <c r="AJ66" s="74">
        <v>1</v>
      </c>
      <c r="AK66" s="74">
        <v>1</v>
      </c>
      <c r="AL66" s="74">
        <v>1</v>
      </c>
      <c r="AM66" s="74">
        <v>1</v>
      </c>
      <c r="AN66" s="74">
        <v>1</v>
      </c>
      <c r="AO66" s="74">
        <v>1</v>
      </c>
      <c r="AP66" s="74">
        <v>1</v>
      </c>
      <c r="AQ66" s="74">
        <v>1</v>
      </c>
      <c r="AR66" s="74">
        <v>1</v>
      </c>
      <c r="AS66" s="74">
        <v>1</v>
      </c>
      <c r="AT66" s="74">
        <v>1</v>
      </c>
      <c r="AU66" s="74">
        <v>1</v>
      </c>
      <c r="AV66" s="74">
        <v>1</v>
      </c>
      <c r="AW66" s="74">
        <v>1</v>
      </c>
      <c r="AX66" s="74">
        <v>1</v>
      </c>
      <c r="AY66" s="74">
        <v>1</v>
      </c>
      <c r="AZ66" s="74">
        <v>1</v>
      </c>
      <c r="BA66" s="74">
        <v>1</v>
      </c>
      <c r="BB66" s="74">
        <v>1</v>
      </c>
      <c r="BC66" s="78">
        <v>1</v>
      </c>
      <c r="BD66" s="74">
        <v>1</v>
      </c>
      <c r="BE66" s="74">
        <v>1</v>
      </c>
      <c r="BF66" s="74">
        <v>1</v>
      </c>
      <c r="BG66" s="74">
        <v>1</v>
      </c>
      <c r="BH66" s="74">
        <v>1</v>
      </c>
      <c r="BI66" s="74">
        <v>1</v>
      </c>
      <c r="BJ66" s="74">
        <v>1</v>
      </c>
      <c r="BK66" s="74">
        <v>1</v>
      </c>
      <c r="BL66" s="74">
        <v>1</v>
      </c>
      <c r="BM66" s="74">
        <v>1</v>
      </c>
      <c r="BN66" s="74">
        <v>1</v>
      </c>
      <c r="BO66" s="74">
        <v>1</v>
      </c>
      <c r="BP66" s="74">
        <v>1</v>
      </c>
      <c r="BQ66" s="74">
        <v>1</v>
      </c>
      <c r="BR66" s="74">
        <v>1</v>
      </c>
      <c r="BS66" s="74">
        <v>1</v>
      </c>
      <c r="BT66" s="74">
        <v>1</v>
      </c>
      <c r="BU66" s="74">
        <v>1</v>
      </c>
      <c r="BV66" s="74">
        <v>1</v>
      </c>
      <c r="BW66" s="74">
        <v>1</v>
      </c>
      <c r="BX66" s="74">
        <v>1</v>
      </c>
      <c r="BY66" s="74">
        <v>1</v>
      </c>
      <c r="BZ66" s="74">
        <v>1</v>
      </c>
      <c r="CA66" s="78">
        <v>1</v>
      </c>
      <c r="CB66" s="74">
        <v>1</v>
      </c>
      <c r="CC66" s="74">
        <v>1</v>
      </c>
      <c r="CD66" s="74">
        <v>1</v>
      </c>
      <c r="CE66" s="74">
        <v>1</v>
      </c>
      <c r="CF66" s="74">
        <v>1</v>
      </c>
      <c r="CG66" s="74">
        <v>1</v>
      </c>
      <c r="CH66" s="74">
        <v>1</v>
      </c>
      <c r="CI66" s="74">
        <v>1</v>
      </c>
      <c r="CJ66" s="74">
        <v>1</v>
      </c>
      <c r="CK66" s="74">
        <v>1</v>
      </c>
      <c r="CL66" s="74">
        <v>1</v>
      </c>
      <c r="CM66" s="74">
        <v>1</v>
      </c>
      <c r="CN66" s="74">
        <v>1</v>
      </c>
      <c r="CO66" s="74">
        <v>1</v>
      </c>
      <c r="CP66" s="74">
        <v>1</v>
      </c>
      <c r="CQ66" s="74">
        <v>1</v>
      </c>
      <c r="CR66" s="74">
        <v>1</v>
      </c>
      <c r="CS66" s="74">
        <v>1</v>
      </c>
      <c r="CT66" s="74">
        <v>1</v>
      </c>
      <c r="CU66" s="74">
        <v>1</v>
      </c>
      <c r="CV66" s="74">
        <v>1</v>
      </c>
      <c r="CW66" s="74">
        <v>1</v>
      </c>
      <c r="CX66" s="74">
        <v>1</v>
      </c>
      <c r="CY66" s="78">
        <v>1</v>
      </c>
      <c r="CZ66" s="74">
        <v>1</v>
      </c>
      <c r="DA66" s="74">
        <v>1</v>
      </c>
      <c r="DB66" s="74">
        <v>1</v>
      </c>
      <c r="DC66" s="74">
        <v>1</v>
      </c>
      <c r="DD66" s="74">
        <v>1</v>
      </c>
      <c r="DE66" s="74">
        <v>1</v>
      </c>
      <c r="DF66" s="74">
        <v>1</v>
      </c>
      <c r="DG66" s="74">
        <v>1</v>
      </c>
      <c r="DH66" s="74">
        <v>1</v>
      </c>
      <c r="DI66" s="74">
        <v>1</v>
      </c>
      <c r="DJ66" s="74">
        <v>1</v>
      </c>
      <c r="DK66" s="74">
        <v>1</v>
      </c>
      <c r="DL66" s="74">
        <v>1</v>
      </c>
      <c r="DM66" s="74">
        <v>1</v>
      </c>
      <c r="DN66" s="74">
        <v>1</v>
      </c>
      <c r="DO66" s="74">
        <v>1</v>
      </c>
      <c r="DP66" s="74">
        <v>1</v>
      </c>
      <c r="DQ66" s="74">
        <v>1</v>
      </c>
      <c r="DR66" s="74">
        <v>1</v>
      </c>
      <c r="DS66" s="74">
        <v>1</v>
      </c>
      <c r="DT66" s="74">
        <v>1</v>
      </c>
      <c r="DU66" s="74">
        <v>1</v>
      </c>
      <c r="DV66" s="74">
        <v>1</v>
      </c>
      <c r="DW66" s="78">
        <v>1</v>
      </c>
      <c r="DX66" s="74">
        <v>1</v>
      </c>
      <c r="DY66" s="74">
        <v>1</v>
      </c>
      <c r="DZ66" s="74">
        <v>1</v>
      </c>
      <c r="EA66" s="74">
        <v>1</v>
      </c>
      <c r="EB66" s="74">
        <v>1</v>
      </c>
      <c r="EC66" s="74">
        <v>1</v>
      </c>
      <c r="ED66" s="74">
        <v>1</v>
      </c>
      <c r="EE66" s="74">
        <v>1</v>
      </c>
      <c r="EF66" s="74">
        <v>1</v>
      </c>
      <c r="EG66" s="74">
        <v>1</v>
      </c>
      <c r="EH66" s="74">
        <v>1</v>
      </c>
      <c r="EI66" s="74">
        <v>1</v>
      </c>
      <c r="EJ66" s="74">
        <v>1</v>
      </c>
      <c r="EK66" s="74">
        <v>1</v>
      </c>
      <c r="EL66" s="74">
        <v>1</v>
      </c>
      <c r="EM66" s="74">
        <v>1</v>
      </c>
      <c r="EN66" s="74">
        <v>1</v>
      </c>
      <c r="EO66" s="74">
        <v>1</v>
      </c>
      <c r="EP66" s="74">
        <v>1</v>
      </c>
      <c r="EQ66" s="74">
        <v>1</v>
      </c>
      <c r="ER66" s="74">
        <v>1</v>
      </c>
      <c r="ES66" s="74">
        <v>1</v>
      </c>
      <c r="ET66" s="74">
        <v>1</v>
      </c>
      <c r="EU66" s="78">
        <v>1</v>
      </c>
      <c r="EV66" s="74">
        <v>1</v>
      </c>
      <c r="EW66" s="74">
        <v>1</v>
      </c>
      <c r="EX66" s="74">
        <v>1</v>
      </c>
      <c r="EY66" s="74">
        <v>1</v>
      </c>
      <c r="EZ66" s="74">
        <v>1</v>
      </c>
      <c r="FA66" s="74">
        <v>1</v>
      </c>
      <c r="FB66" s="74">
        <v>1</v>
      </c>
      <c r="FC66" s="74">
        <v>1</v>
      </c>
      <c r="FD66" s="74">
        <v>1</v>
      </c>
      <c r="FE66" s="74">
        <v>1</v>
      </c>
      <c r="FF66" s="74">
        <v>1</v>
      </c>
      <c r="FG66" s="74">
        <v>1</v>
      </c>
      <c r="FH66" s="74">
        <v>1</v>
      </c>
      <c r="FI66" s="74">
        <v>1</v>
      </c>
      <c r="FJ66" s="74">
        <v>1</v>
      </c>
      <c r="FK66" s="74">
        <v>1</v>
      </c>
      <c r="FL66" s="74">
        <v>1</v>
      </c>
      <c r="FM66" s="74">
        <v>1</v>
      </c>
      <c r="FN66" s="74">
        <v>1</v>
      </c>
      <c r="FO66" s="74">
        <v>1</v>
      </c>
      <c r="FP66" s="74">
        <v>1</v>
      </c>
      <c r="FQ66" s="74">
        <v>1</v>
      </c>
      <c r="FR66" s="74">
        <v>1</v>
      </c>
      <c r="FS66" s="78">
        <v>1</v>
      </c>
      <c r="FT66" s="74">
        <v>1</v>
      </c>
      <c r="FU66" s="74">
        <v>1</v>
      </c>
      <c r="FV66" s="74">
        <v>1</v>
      </c>
      <c r="FW66" s="74">
        <v>1</v>
      </c>
      <c r="FX66" s="74">
        <v>1</v>
      </c>
      <c r="FY66" s="74">
        <v>1</v>
      </c>
      <c r="FZ66" s="74">
        <v>1</v>
      </c>
      <c r="GA66" s="74">
        <v>1</v>
      </c>
      <c r="GB66" s="74">
        <v>1</v>
      </c>
      <c r="GC66" s="74">
        <v>1</v>
      </c>
      <c r="GD66" s="74">
        <v>1</v>
      </c>
      <c r="GE66" s="74">
        <v>1</v>
      </c>
      <c r="GF66" s="74">
        <v>1</v>
      </c>
      <c r="GG66" s="74">
        <v>1</v>
      </c>
      <c r="GH66" s="74">
        <v>1</v>
      </c>
      <c r="GI66" s="74">
        <v>1</v>
      </c>
      <c r="GJ66" s="74">
        <v>1</v>
      </c>
      <c r="GK66" s="74">
        <v>1</v>
      </c>
      <c r="GL66" s="74">
        <v>1</v>
      </c>
      <c r="GM66" s="74">
        <v>1</v>
      </c>
      <c r="GN66" s="74">
        <v>1</v>
      </c>
      <c r="GO66" s="74">
        <v>1</v>
      </c>
      <c r="GP66" s="74">
        <v>1</v>
      </c>
      <c r="GQ66" s="78">
        <v>1</v>
      </c>
      <c r="GR66" s="74">
        <v>1</v>
      </c>
      <c r="GS66" s="74">
        <v>1</v>
      </c>
      <c r="GT66" s="74">
        <v>1</v>
      </c>
      <c r="GU66" s="74">
        <v>1</v>
      </c>
      <c r="GV66" s="74">
        <v>1</v>
      </c>
      <c r="GW66" s="74">
        <v>1</v>
      </c>
      <c r="GX66" s="74">
        <v>1</v>
      </c>
      <c r="GY66" s="74">
        <v>1</v>
      </c>
      <c r="GZ66" s="74">
        <v>1</v>
      </c>
      <c r="HA66" s="74">
        <v>1</v>
      </c>
      <c r="HB66" s="74">
        <v>1</v>
      </c>
      <c r="HC66" s="74">
        <v>1</v>
      </c>
      <c r="HD66" s="74">
        <v>1</v>
      </c>
      <c r="HE66" s="74">
        <v>1</v>
      </c>
      <c r="HF66" s="74">
        <v>1</v>
      </c>
      <c r="HG66" s="74">
        <v>1</v>
      </c>
      <c r="HH66" s="74">
        <v>1</v>
      </c>
      <c r="HI66" s="74">
        <v>1</v>
      </c>
      <c r="HJ66" s="74">
        <v>1</v>
      </c>
      <c r="HK66" s="74">
        <v>1</v>
      </c>
      <c r="HL66" s="74">
        <v>1</v>
      </c>
      <c r="HM66" s="74">
        <v>1</v>
      </c>
      <c r="HN66" s="74">
        <v>1</v>
      </c>
      <c r="HO66" s="74">
        <v>1</v>
      </c>
      <c r="HP66" s="74">
        <v>1</v>
      </c>
      <c r="HQ66" s="74">
        <v>1</v>
      </c>
      <c r="HR66" s="74">
        <v>1</v>
      </c>
      <c r="HS66" s="74">
        <v>1</v>
      </c>
      <c r="HT66" s="74">
        <v>1</v>
      </c>
      <c r="HU66" s="74">
        <v>1</v>
      </c>
      <c r="HV66" s="74">
        <v>1</v>
      </c>
      <c r="HW66" s="74">
        <v>1</v>
      </c>
      <c r="HX66" s="75">
        <v>1</v>
      </c>
    </row>
    <row r="67" spans="2:232" x14ac:dyDescent="0.2">
      <c r="B67" s="82" t="s">
        <v>113</v>
      </c>
      <c r="C67" s="80" t="s">
        <v>132</v>
      </c>
      <c r="D67" s="81">
        <v>5.2</v>
      </c>
      <c r="E67" s="80" t="s">
        <v>127</v>
      </c>
      <c r="F67" s="80" t="s">
        <v>123</v>
      </c>
      <c r="G67" s="78">
        <v>0</v>
      </c>
      <c r="H67" s="74">
        <v>0</v>
      </c>
      <c r="I67" s="74">
        <v>0</v>
      </c>
      <c r="J67" s="74">
        <v>0</v>
      </c>
      <c r="K67" s="74">
        <v>0</v>
      </c>
      <c r="L67" s="74">
        <v>0</v>
      </c>
      <c r="M67" s="74">
        <v>0</v>
      </c>
      <c r="N67" s="74">
        <v>0</v>
      </c>
      <c r="O67" s="74">
        <v>0</v>
      </c>
      <c r="P67" s="74">
        <v>0</v>
      </c>
      <c r="Q67" s="74">
        <v>0</v>
      </c>
      <c r="R67" s="74">
        <v>0</v>
      </c>
      <c r="S67" s="74">
        <v>0</v>
      </c>
      <c r="T67" s="74">
        <v>0</v>
      </c>
      <c r="U67" s="74">
        <v>0</v>
      </c>
      <c r="V67" s="74">
        <v>0</v>
      </c>
      <c r="W67" s="74">
        <v>0</v>
      </c>
      <c r="X67" s="74">
        <v>0</v>
      </c>
      <c r="Y67" s="74">
        <v>0</v>
      </c>
      <c r="Z67" s="74">
        <v>0</v>
      </c>
      <c r="AA67" s="74">
        <v>0</v>
      </c>
      <c r="AB67" s="74">
        <v>0</v>
      </c>
      <c r="AC67" s="74">
        <v>0</v>
      </c>
      <c r="AD67" s="74">
        <v>0</v>
      </c>
      <c r="AE67" s="78">
        <v>0</v>
      </c>
      <c r="AF67" s="74">
        <v>0</v>
      </c>
      <c r="AG67" s="74">
        <v>0</v>
      </c>
      <c r="AH67" s="74">
        <v>0</v>
      </c>
      <c r="AI67" s="74">
        <v>0</v>
      </c>
      <c r="AJ67" s="74">
        <v>0</v>
      </c>
      <c r="AK67" s="74">
        <v>0</v>
      </c>
      <c r="AL67" s="74">
        <v>0</v>
      </c>
      <c r="AM67" s="74">
        <v>0</v>
      </c>
      <c r="AN67" s="74">
        <v>0</v>
      </c>
      <c r="AO67" s="74">
        <v>0</v>
      </c>
      <c r="AP67" s="74">
        <v>0</v>
      </c>
      <c r="AQ67" s="74">
        <v>0</v>
      </c>
      <c r="AR67" s="74">
        <v>0</v>
      </c>
      <c r="AS67" s="74">
        <v>0</v>
      </c>
      <c r="AT67" s="74">
        <v>0</v>
      </c>
      <c r="AU67" s="74">
        <v>0</v>
      </c>
      <c r="AV67" s="74">
        <v>0</v>
      </c>
      <c r="AW67" s="74">
        <v>0</v>
      </c>
      <c r="AX67" s="74">
        <v>0</v>
      </c>
      <c r="AY67" s="74">
        <v>0</v>
      </c>
      <c r="AZ67" s="74">
        <v>0</v>
      </c>
      <c r="BA67" s="74">
        <v>1</v>
      </c>
      <c r="BB67" s="74">
        <v>1</v>
      </c>
      <c r="BC67" s="78">
        <v>1</v>
      </c>
      <c r="BD67" s="74">
        <v>1</v>
      </c>
      <c r="BE67" s="74">
        <v>1</v>
      </c>
      <c r="BF67" s="74">
        <v>1</v>
      </c>
      <c r="BG67" s="74">
        <v>1</v>
      </c>
      <c r="BH67" s="74">
        <v>1</v>
      </c>
      <c r="BI67" s="74">
        <v>1</v>
      </c>
      <c r="BJ67" s="74">
        <v>1</v>
      </c>
      <c r="BK67" s="74">
        <v>1</v>
      </c>
      <c r="BL67" s="74">
        <v>1</v>
      </c>
      <c r="BM67" s="74">
        <v>1</v>
      </c>
      <c r="BN67" s="74">
        <v>1</v>
      </c>
      <c r="BO67" s="74">
        <v>1</v>
      </c>
      <c r="BP67" s="74">
        <v>1</v>
      </c>
      <c r="BQ67" s="74">
        <v>1</v>
      </c>
      <c r="BR67" s="74">
        <v>1</v>
      </c>
      <c r="BS67" s="74">
        <v>1</v>
      </c>
      <c r="BT67" s="74">
        <v>1</v>
      </c>
      <c r="BU67" s="74">
        <v>1</v>
      </c>
      <c r="BV67" s="74">
        <v>1</v>
      </c>
      <c r="BW67" s="74">
        <v>1</v>
      </c>
      <c r="BX67" s="74">
        <v>1</v>
      </c>
      <c r="BY67" s="74">
        <v>1</v>
      </c>
      <c r="BZ67" s="74">
        <v>1</v>
      </c>
      <c r="CA67" s="78">
        <v>1</v>
      </c>
      <c r="CB67" s="74">
        <v>1</v>
      </c>
      <c r="CC67" s="74">
        <v>1</v>
      </c>
      <c r="CD67" s="74">
        <v>1</v>
      </c>
      <c r="CE67" s="74">
        <v>1</v>
      </c>
      <c r="CF67" s="74">
        <v>1</v>
      </c>
      <c r="CG67" s="74">
        <v>1</v>
      </c>
      <c r="CH67" s="74">
        <v>1</v>
      </c>
      <c r="CI67" s="74">
        <v>1</v>
      </c>
      <c r="CJ67" s="74">
        <v>1</v>
      </c>
      <c r="CK67" s="74">
        <v>1</v>
      </c>
      <c r="CL67" s="74">
        <v>1</v>
      </c>
      <c r="CM67" s="74">
        <v>1</v>
      </c>
      <c r="CN67" s="74">
        <v>1</v>
      </c>
      <c r="CO67" s="74">
        <v>1</v>
      </c>
      <c r="CP67" s="74">
        <v>1</v>
      </c>
      <c r="CQ67" s="74">
        <v>1</v>
      </c>
      <c r="CR67" s="74">
        <v>1</v>
      </c>
      <c r="CS67" s="74">
        <v>1</v>
      </c>
      <c r="CT67" s="74">
        <v>1</v>
      </c>
      <c r="CU67" s="74">
        <v>1</v>
      </c>
      <c r="CV67" s="74">
        <v>1</v>
      </c>
      <c r="CW67" s="74">
        <v>1</v>
      </c>
      <c r="CX67" s="74">
        <v>1</v>
      </c>
      <c r="CY67" s="78">
        <v>1</v>
      </c>
      <c r="CZ67" s="74">
        <v>1</v>
      </c>
      <c r="DA67" s="74">
        <v>1</v>
      </c>
      <c r="DB67" s="74">
        <v>1</v>
      </c>
      <c r="DC67" s="74">
        <v>1</v>
      </c>
      <c r="DD67" s="74">
        <v>1</v>
      </c>
      <c r="DE67" s="74">
        <v>1</v>
      </c>
      <c r="DF67" s="74">
        <v>1</v>
      </c>
      <c r="DG67" s="74">
        <v>1</v>
      </c>
      <c r="DH67" s="74">
        <v>1</v>
      </c>
      <c r="DI67" s="74">
        <v>1</v>
      </c>
      <c r="DJ67" s="74">
        <v>1</v>
      </c>
      <c r="DK67" s="74">
        <v>1</v>
      </c>
      <c r="DL67" s="74">
        <v>1</v>
      </c>
      <c r="DM67" s="74">
        <v>1</v>
      </c>
      <c r="DN67" s="74">
        <v>1</v>
      </c>
      <c r="DO67" s="74">
        <v>1</v>
      </c>
      <c r="DP67" s="74">
        <v>1</v>
      </c>
      <c r="DQ67" s="74">
        <v>1</v>
      </c>
      <c r="DR67" s="74">
        <v>1</v>
      </c>
      <c r="DS67" s="74">
        <v>1</v>
      </c>
      <c r="DT67" s="74">
        <v>1</v>
      </c>
      <c r="DU67" s="74">
        <v>1</v>
      </c>
      <c r="DV67" s="74">
        <v>1</v>
      </c>
      <c r="DW67" s="78">
        <v>1</v>
      </c>
      <c r="DX67" s="74">
        <v>1</v>
      </c>
      <c r="DY67" s="74">
        <v>1</v>
      </c>
      <c r="DZ67" s="74">
        <v>1</v>
      </c>
      <c r="EA67" s="74">
        <v>1</v>
      </c>
      <c r="EB67" s="74">
        <v>1</v>
      </c>
      <c r="EC67" s="74">
        <v>1</v>
      </c>
      <c r="ED67" s="74">
        <v>1</v>
      </c>
      <c r="EE67" s="74">
        <v>1</v>
      </c>
      <c r="EF67" s="74">
        <v>1</v>
      </c>
      <c r="EG67" s="74">
        <v>1</v>
      </c>
      <c r="EH67" s="74">
        <v>1</v>
      </c>
      <c r="EI67" s="74">
        <v>1</v>
      </c>
      <c r="EJ67" s="74">
        <v>1</v>
      </c>
      <c r="EK67" s="74">
        <v>1</v>
      </c>
      <c r="EL67" s="74">
        <v>1</v>
      </c>
      <c r="EM67" s="74">
        <v>1</v>
      </c>
      <c r="EN67" s="74">
        <v>1</v>
      </c>
      <c r="EO67" s="74">
        <v>1</v>
      </c>
      <c r="EP67" s="74">
        <v>1</v>
      </c>
      <c r="EQ67" s="74">
        <v>1</v>
      </c>
      <c r="ER67" s="74">
        <v>1</v>
      </c>
      <c r="ES67" s="74">
        <v>1</v>
      </c>
      <c r="ET67" s="74">
        <v>1</v>
      </c>
      <c r="EU67" s="78">
        <v>1</v>
      </c>
      <c r="EV67" s="74">
        <v>1</v>
      </c>
      <c r="EW67" s="74">
        <v>1</v>
      </c>
      <c r="EX67" s="74">
        <v>1</v>
      </c>
      <c r="EY67" s="74">
        <v>1</v>
      </c>
      <c r="EZ67" s="74">
        <v>1</v>
      </c>
      <c r="FA67" s="74">
        <v>1</v>
      </c>
      <c r="FB67" s="74">
        <v>1</v>
      </c>
      <c r="FC67" s="74">
        <v>1</v>
      </c>
      <c r="FD67" s="74">
        <v>1</v>
      </c>
      <c r="FE67" s="74">
        <v>1</v>
      </c>
      <c r="FF67" s="74">
        <v>1</v>
      </c>
      <c r="FG67" s="74">
        <v>1</v>
      </c>
      <c r="FH67" s="74">
        <v>1</v>
      </c>
      <c r="FI67" s="74">
        <v>1</v>
      </c>
      <c r="FJ67" s="74">
        <v>1</v>
      </c>
      <c r="FK67" s="74">
        <v>1</v>
      </c>
      <c r="FL67" s="74">
        <v>1</v>
      </c>
      <c r="FM67" s="74">
        <v>1</v>
      </c>
      <c r="FN67" s="74">
        <v>1</v>
      </c>
      <c r="FO67" s="74">
        <v>1</v>
      </c>
      <c r="FP67" s="74">
        <v>1</v>
      </c>
      <c r="FQ67" s="74">
        <v>1</v>
      </c>
      <c r="FR67" s="74">
        <v>1</v>
      </c>
      <c r="FS67" s="78">
        <v>1</v>
      </c>
      <c r="FT67" s="74">
        <v>1</v>
      </c>
      <c r="FU67" s="74">
        <v>1</v>
      </c>
      <c r="FV67" s="74">
        <v>1</v>
      </c>
      <c r="FW67" s="74">
        <v>1</v>
      </c>
      <c r="FX67" s="74">
        <v>1</v>
      </c>
      <c r="FY67" s="74">
        <v>1</v>
      </c>
      <c r="FZ67" s="74">
        <v>1</v>
      </c>
      <c r="GA67" s="74">
        <v>1</v>
      </c>
      <c r="GB67" s="74">
        <v>1</v>
      </c>
      <c r="GC67" s="74">
        <v>1</v>
      </c>
      <c r="GD67" s="74">
        <v>1</v>
      </c>
      <c r="GE67" s="74">
        <v>1</v>
      </c>
      <c r="GF67" s="74">
        <v>1</v>
      </c>
      <c r="GG67" s="74">
        <v>1</v>
      </c>
      <c r="GH67" s="74">
        <v>1</v>
      </c>
      <c r="GI67" s="74">
        <v>1</v>
      </c>
      <c r="GJ67" s="74">
        <v>1</v>
      </c>
      <c r="GK67" s="74">
        <v>1</v>
      </c>
      <c r="GL67" s="74">
        <v>1</v>
      </c>
      <c r="GM67" s="74">
        <v>1</v>
      </c>
      <c r="GN67" s="74">
        <v>1</v>
      </c>
      <c r="GO67" s="74">
        <v>1</v>
      </c>
      <c r="GP67" s="74">
        <v>1</v>
      </c>
      <c r="GQ67" s="78">
        <v>1</v>
      </c>
      <c r="GR67" s="74">
        <v>1</v>
      </c>
      <c r="GS67" s="74">
        <v>1</v>
      </c>
      <c r="GT67" s="74">
        <v>1</v>
      </c>
      <c r="GU67" s="74">
        <v>1</v>
      </c>
      <c r="GV67" s="74">
        <v>1</v>
      </c>
      <c r="GW67" s="74">
        <v>1</v>
      </c>
      <c r="GX67" s="74">
        <v>1</v>
      </c>
      <c r="GY67" s="74">
        <v>1</v>
      </c>
      <c r="GZ67" s="74">
        <v>1</v>
      </c>
      <c r="HA67" s="74">
        <v>1</v>
      </c>
      <c r="HB67" s="74">
        <v>1</v>
      </c>
      <c r="HC67" s="74">
        <v>1</v>
      </c>
      <c r="HD67" s="74">
        <v>1</v>
      </c>
      <c r="HE67" s="74">
        <v>1</v>
      </c>
      <c r="HF67" s="74">
        <v>1</v>
      </c>
      <c r="HG67" s="74">
        <v>1</v>
      </c>
      <c r="HH67" s="74">
        <v>1</v>
      </c>
      <c r="HI67" s="74">
        <v>1</v>
      </c>
      <c r="HJ67" s="74">
        <v>1</v>
      </c>
      <c r="HK67" s="74">
        <v>1</v>
      </c>
      <c r="HL67" s="74">
        <v>1</v>
      </c>
      <c r="HM67" s="74">
        <v>1</v>
      </c>
      <c r="HN67" s="74">
        <v>1</v>
      </c>
      <c r="HO67" s="74">
        <v>1</v>
      </c>
      <c r="HP67" s="74">
        <v>1</v>
      </c>
      <c r="HQ67" s="74">
        <v>1</v>
      </c>
      <c r="HR67" s="74">
        <v>1</v>
      </c>
      <c r="HS67" s="74">
        <v>1</v>
      </c>
      <c r="HT67" s="74">
        <v>1</v>
      </c>
      <c r="HU67" s="74">
        <v>1</v>
      </c>
      <c r="HV67" s="74">
        <v>1</v>
      </c>
      <c r="HW67" s="74">
        <v>1</v>
      </c>
      <c r="HX67" s="75">
        <v>1</v>
      </c>
    </row>
    <row r="68" spans="2:232" x14ac:dyDescent="0.2">
      <c r="B68" s="80" t="s">
        <v>114</v>
      </c>
      <c r="C68" s="80" t="s">
        <v>132</v>
      </c>
      <c r="D68" s="81">
        <v>5.2</v>
      </c>
      <c r="E68" s="80" t="s">
        <v>127</v>
      </c>
      <c r="F68" s="80" t="s">
        <v>123</v>
      </c>
      <c r="G68" s="78">
        <v>1</v>
      </c>
      <c r="H68" s="74">
        <v>1</v>
      </c>
      <c r="I68" s="74">
        <v>1</v>
      </c>
      <c r="J68" s="74">
        <v>1</v>
      </c>
      <c r="K68" s="74">
        <v>1</v>
      </c>
      <c r="L68" s="74">
        <v>1</v>
      </c>
      <c r="M68" s="74">
        <v>1</v>
      </c>
      <c r="N68" s="74">
        <v>1</v>
      </c>
      <c r="O68" s="74">
        <v>1</v>
      </c>
      <c r="P68" s="74">
        <v>1</v>
      </c>
      <c r="Q68" s="74">
        <v>1</v>
      </c>
      <c r="R68" s="74">
        <v>1</v>
      </c>
      <c r="S68" s="74">
        <v>1</v>
      </c>
      <c r="T68" s="74">
        <v>1</v>
      </c>
      <c r="U68" s="74">
        <v>1</v>
      </c>
      <c r="V68" s="74">
        <v>1</v>
      </c>
      <c r="W68" s="74">
        <v>1</v>
      </c>
      <c r="X68" s="74">
        <v>1</v>
      </c>
      <c r="Y68" s="74">
        <v>1</v>
      </c>
      <c r="Z68" s="74">
        <v>1</v>
      </c>
      <c r="AA68" s="74">
        <v>1</v>
      </c>
      <c r="AB68" s="74">
        <v>1</v>
      </c>
      <c r="AC68" s="74">
        <v>1</v>
      </c>
      <c r="AD68" s="74">
        <v>1</v>
      </c>
      <c r="AE68" s="78">
        <v>1</v>
      </c>
      <c r="AF68" s="74">
        <v>1</v>
      </c>
      <c r="AG68" s="74">
        <v>1</v>
      </c>
      <c r="AH68" s="74">
        <v>1</v>
      </c>
      <c r="AI68" s="74">
        <v>1</v>
      </c>
      <c r="AJ68" s="74">
        <v>1</v>
      </c>
      <c r="AK68" s="74">
        <v>1</v>
      </c>
      <c r="AL68" s="74">
        <v>1</v>
      </c>
      <c r="AM68" s="74">
        <v>1</v>
      </c>
      <c r="AN68" s="74">
        <v>1</v>
      </c>
      <c r="AO68" s="74">
        <v>1</v>
      </c>
      <c r="AP68" s="74">
        <v>1</v>
      </c>
      <c r="AQ68" s="74">
        <v>1</v>
      </c>
      <c r="AR68" s="74">
        <v>1</v>
      </c>
      <c r="AS68" s="74">
        <v>1</v>
      </c>
      <c r="AT68" s="74">
        <v>1</v>
      </c>
      <c r="AU68" s="74">
        <v>1</v>
      </c>
      <c r="AV68" s="74">
        <v>1</v>
      </c>
      <c r="AW68" s="74">
        <v>1</v>
      </c>
      <c r="AX68" s="74">
        <v>1</v>
      </c>
      <c r="AY68" s="74">
        <v>1</v>
      </c>
      <c r="AZ68" s="74">
        <v>1</v>
      </c>
      <c r="BA68" s="74">
        <v>1</v>
      </c>
      <c r="BB68" s="74">
        <v>1</v>
      </c>
      <c r="BC68" s="78">
        <v>1</v>
      </c>
      <c r="BD68" s="74">
        <v>1</v>
      </c>
      <c r="BE68" s="74">
        <v>1</v>
      </c>
      <c r="BF68" s="74">
        <v>1</v>
      </c>
      <c r="BG68" s="74">
        <v>1</v>
      </c>
      <c r="BH68" s="74">
        <v>1</v>
      </c>
      <c r="BI68" s="74">
        <v>1</v>
      </c>
      <c r="BJ68" s="74">
        <v>1</v>
      </c>
      <c r="BK68" s="74">
        <v>1</v>
      </c>
      <c r="BL68" s="74">
        <v>1</v>
      </c>
      <c r="BM68" s="74">
        <v>1</v>
      </c>
      <c r="BN68" s="74">
        <v>1</v>
      </c>
      <c r="BO68" s="74">
        <v>1</v>
      </c>
      <c r="BP68" s="74">
        <v>1</v>
      </c>
      <c r="BQ68" s="74">
        <v>1</v>
      </c>
      <c r="BR68" s="74">
        <v>1</v>
      </c>
      <c r="BS68" s="74">
        <v>1</v>
      </c>
      <c r="BT68" s="74">
        <v>1</v>
      </c>
      <c r="BU68" s="74">
        <v>1</v>
      </c>
      <c r="BV68" s="74">
        <v>1</v>
      </c>
      <c r="BW68" s="74">
        <v>1</v>
      </c>
      <c r="BX68" s="74">
        <v>1</v>
      </c>
      <c r="BY68" s="74">
        <v>1</v>
      </c>
      <c r="BZ68" s="74">
        <v>1</v>
      </c>
      <c r="CA68" s="78">
        <v>1</v>
      </c>
      <c r="CB68" s="74">
        <v>1</v>
      </c>
      <c r="CC68" s="74">
        <v>1</v>
      </c>
      <c r="CD68" s="74">
        <v>1</v>
      </c>
      <c r="CE68" s="74">
        <v>1</v>
      </c>
      <c r="CF68" s="74">
        <v>1</v>
      </c>
      <c r="CG68" s="74">
        <v>1</v>
      </c>
      <c r="CH68" s="74">
        <v>1</v>
      </c>
      <c r="CI68" s="74">
        <v>1</v>
      </c>
      <c r="CJ68" s="74">
        <v>1</v>
      </c>
      <c r="CK68" s="74">
        <v>1</v>
      </c>
      <c r="CL68" s="74">
        <v>1</v>
      </c>
      <c r="CM68" s="74">
        <v>1</v>
      </c>
      <c r="CN68" s="74">
        <v>1</v>
      </c>
      <c r="CO68" s="74">
        <v>1</v>
      </c>
      <c r="CP68" s="74">
        <v>1</v>
      </c>
      <c r="CQ68" s="74">
        <v>1</v>
      </c>
      <c r="CR68" s="74">
        <v>1</v>
      </c>
      <c r="CS68" s="74">
        <v>1</v>
      </c>
      <c r="CT68" s="74">
        <v>1</v>
      </c>
      <c r="CU68" s="74">
        <v>1</v>
      </c>
      <c r="CV68" s="74">
        <v>1</v>
      </c>
      <c r="CW68" s="74">
        <v>1</v>
      </c>
      <c r="CX68" s="74">
        <v>1</v>
      </c>
      <c r="CY68" s="78">
        <v>1</v>
      </c>
      <c r="CZ68" s="74">
        <v>1</v>
      </c>
      <c r="DA68" s="74">
        <v>1</v>
      </c>
      <c r="DB68" s="74">
        <v>1</v>
      </c>
      <c r="DC68" s="74">
        <v>1</v>
      </c>
      <c r="DD68" s="74">
        <v>1</v>
      </c>
      <c r="DE68" s="74">
        <v>1</v>
      </c>
      <c r="DF68" s="74">
        <v>1</v>
      </c>
      <c r="DG68" s="74">
        <v>1</v>
      </c>
      <c r="DH68" s="74">
        <v>1</v>
      </c>
      <c r="DI68" s="74">
        <v>1</v>
      </c>
      <c r="DJ68" s="74">
        <v>1</v>
      </c>
      <c r="DK68" s="74">
        <v>1</v>
      </c>
      <c r="DL68" s="74">
        <v>1</v>
      </c>
      <c r="DM68" s="74">
        <v>1</v>
      </c>
      <c r="DN68" s="74">
        <v>1</v>
      </c>
      <c r="DO68" s="74">
        <v>1</v>
      </c>
      <c r="DP68" s="74">
        <v>1</v>
      </c>
      <c r="DQ68" s="74">
        <v>1</v>
      </c>
      <c r="DR68" s="74">
        <v>1</v>
      </c>
      <c r="DS68" s="74">
        <v>1</v>
      </c>
      <c r="DT68" s="74">
        <v>1</v>
      </c>
      <c r="DU68" s="74">
        <v>1</v>
      </c>
      <c r="DV68" s="74">
        <v>1</v>
      </c>
      <c r="DW68" s="78">
        <v>1</v>
      </c>
      <c r="DX68" s="74">
        <v>1</v>
      </c>
      <c r="DY68" s="74">
        <v>1</v>
      </c>
      <c r="DZ68" s="74">
        <v>1</v>
      </c>
      <c r="EA68" s="74">
        <v>1</v>
      </c>
      <c r="EB68" s="74">
        <v>1</v>
      </c>
      <c r="EC68" s="74">
        <v>1</v>
      </c>
      <c r="ED68" s="74">
        <v>1</v>
      </c>
      <c r="EE68" s="74">
        <v>1</v>
      </c>
      <c r="EF68" s="74">
        <v>1</v>
      </c>
      <c r="EG68" s="74">
        <v>1</v>
      </c>
      <c r="EH68" s="74">
        <v>1</v>
      </c>
      <c r="EI68" s="74">
        <v>1</v>
      </c>
      <c r="EJ68" s="74">
        <v>1</v>
      </c>
      <c r="EK68" s="74">
        <v>1</v>
      </c>
      <c r="EL68" s="74">
        <v>1</v>
      </c>
      <c r="EM68" s="74">
        <v>1</v>
      </c>
      <c r="EN68" s="74">
        <v>1</v>
      </c>
      <c r="EO68" s="74">
        <v>1</v>
      </c>
      <c r="EP68" s="74">
        <v>1</v>
      </c>
      <c r="EQ68" s="74">
        <v>1</v>
      </c>
      <c r="ER68" s="74">
        <v>1</v>
      </c>
      <c r="ES68" s="74">
        <v>1</v>
      </c>
      <c r="ET68" s="74">
        <v>1</v>
      </c>
      <c r="EU68" s="78">
        <v>1</v>
      </c>
      <c r="EV68" s="74">
        <v>1</v>
      </c>
      <c r="EW68" s="74">
        <v>1</v>
      </c>
      <c r="EX68" s="74">
        <v>1</v>
      </c>
      <c r="EY68" s="74">
        <v>1</v>
      </c>
      <c r="EZ68" s="74">
        <v>1</v>
      </c>
      <c r="FA68" s="74">
        <v>1</v>
      </c>
      <c r="FB68" s="74">
        <v>1</v>
      </c>
      <c r="FC68" s="74">
        <v>1</v>
      </c>
      <c r="FD68" s="74">
        <v>1</v>
      </c>
      <c r="FE68" s="74">
        <v>1</v>
      </c>
      <c r="FF68" s="74">
        <v>1</v>
      </c>
      <c r="FG68" s="74">
        <v>1</v>
      </c>
      <c r="FH68" s="74">
        <v>1</v>
      </c>
      <c r="FI68" s="74">
        <v>1</v>
      </c>
      <c r="FJ68" s="74">
        <v>1</v>
      </c>
      <c r="FK68" s="74">
        <v>1</v>
      </c>
      <c r="FL68" s="74">
        <v>1</v>
      </c>
      <c r="FM68" s="74">
        <v>1</v>
      </c>
      <c r="FN68" s="74">
        <v>1</v>
      </c>
      <c r="FO68" s="74">
        <v>1</v>
      </c>
      <c r="FP68" s="74">
        <v>1</v>
      </c>
      <c r="FQ68" s="74">
        <v>1</v>
      </c>
      <c r="FR68" s="74">
        <v>1</v>
      </c>
      <c r="FS68" s="78">
        <v>1</v>
      </c>
      <c r="FT68" s="74">
        <v>1</v>
      </c>
      <c r="FU68" s="74">
        <v>1</v>
      </c>
      <c r="FV68" s="74">
        <v>1</v>
      </c>
      <c r="FW68" s="74">
        <v>1</v>
      </c>
      <c r="FX68" s="74">
        <v>1</v>
      </c>
      <c r="FY68" s="74">
        <v>1</v>
      </c>
      <c r="FZ68" s="74">
        <v>1</v>
      </c>
      <c r="GA68" s="74">
        <v>1</v>
      </c>
      <c r="GB68" s="74">
        <v>1</v>
      </c>
      <c r="GC68" s="74">
        <v>1</v>
      </c>
      <c r="GD68" s="74">
        <v>1</v>
      </c>
      <c r="GE68" s="74">
        <v>1</v>
      </c>
      <c r="GF68" s="74">
        <v>1</v>
      </c>
      <c r="GG68" s="74">
        <v>1</v>
      </c>
      <c r="GH68" s="74">
        <v>1</v>
      </c>
      <c r="GI68" s="74">
        <v>1</v>
      </c>
      <c r="GJ68" s="74">
        <v>1</v>
      </c>
      <c r="GK68" s="74">
        <v>1</v>
      </c>
      <c r="GL68" s="74">
        <v>1</v>
      </c>
      <c r="GM68" s="74">
        <v>1</v>
      </c>
      <c r="GN68" s="74">
        <v>1</v>
      </c>
      <c r="GO68" s="74">
        <v>1</v>
      </c>
      <c r="GP68" s="74">
        <v>1</v>
      </c>
      <c r="GQ68" s="78">
        <v>1</v>
      </c>
      <c r="GR68" s="74">
        <v>1</v>
      </c>
      <c r="GS68" s="74">
        <v>1</v>
      </c>
      <c r="GT68" s="74">
        <v>1</v>
      </c>
      <c r="GU68" s="74">
        <v>1</v>
      </c>
      <c r="GV68" s="74">
        <v>1</v>
      </c>
      <c r="GW68" s="74">
        <v>1</v>
      </c>
      <c r="GX68" s="74">
        <v>1</v>
      </c>
      <c r="GY68" s="74">
        <v>1</v>
      </c>
      <c r="GZ68" s="74">
        <v>1</v>
      </c>
      <c r="HA68" s="74">
        <v>1</v>
      </c>
      <c r="HB68" s="74">
        <v>1</v>
      </c>
      <c r="HC68" s="74">
        <v>1</v>
      </c>
      <c r="HD68" s="74">
        <v>1</v>
      </c>
      <c r="HE68" s="74">
        <v>1</v>
      </c>
      <c r="HF68" s="74">
        <v>1</v>
      </c>
      <c r="HG68" s="74">
        <v>1</v>
      </c>
      <c r="HH68" s="74">
        <v>1</v>
      </c>
      <c r="HI68" s="74">
        <v>1</v>
      </c>
      <c r="HJ68" s="74">
        <v>1</v>
      </c>
      <c r="HK68" s="74">
        <v>1</v>
      </c>
      <c r="HL68" s="74">
        <v>1</v>
      </c>
      <c r="HM68" s="74">
        <v>1</v>
      </c>
      <c r="HN68" s="74">
        <v>1</v>
      </c>
      <c r="HO68" s="74">
        <v>1</v>
      </c>
      <c r="HP68" s="74">
        <v>1</v>
      </c>
      <c r="HQ68" s="74">
        <v>1</v>
      </c>
      <c r="HR68" s="74">
        <v>1</v>
      </c>
      <c r="HS68" s="74">
        <v>1</v>
      </c>
      <c r="HT68" s="74">
        <v>1</v>
      </c>
      <c r="HU68" s="74">
        <v>1</v>
      </c>
      <c r="HV68" s="74">
        <v>1</v>
      </c>
      <c r="HW68" s="74">
        <v>1</v>
      </c>
      <c r="HX68" s="75">
        <v>1</v>
      </c>
    </row>
    <row r="69" spans="2:232" x14ac:dyDescent="0.2">
      <c r="B69" s="82" t="s">
        <v>115</v>
      </c>
      <c r="C69" s="80" t="s">
        <v>132</v>
      </c>
      <c r="D69" s="81">
        <v>5</v>
      </c>
      <c r="E69" s="80" t="s">
        <v>127</v>
      </c>
      <c r="F69" s="80" t="s">
        <v>123</v>
      </c>
      <c r="G69" s="78">
        <v>0</v>
      </c>
      <c r="H69" s="74">
        <v>0</v>
      </c>
      <c r="I69" s="74">
        <v>0</v>
      </c>
      <c r="J69" s="74">
        <v>0</v>
      </c>
      <c r="K69" s="74">
        <v>0</v>
      </c>
      <c r="L69" s="74">
        <v>0</v>
      </c>
      <c r="M69" s="74">
        <v>0</v>
      </c>
      <c r="N69" s="74">
        <v>0</v>
      </c>
      <c r="O69" s="74">
        <v>0</v>
      </c>
      <c r="P69" s="74">
        <v>0</v>
      </c>
      <c r="Q69" s="74">
        <v>0</v>
      </c>
      <c r="R69" s="74">
        <v>0</v>
      </c>
      <c r="S69" s="74">
        <v>0</v>
      </c>
      <c r="T69" s="74">
        <v>0</v>
      </c>
      <c r="U69" s="74">
        <v>0</v>
      </c>
      <c r="V69" s="74">
        <v>0</v>
      </c>
      <c r="W69" s="74">
        <v>0</v>
      </c>
      <c r="X69" s="74">
        <v>0</v>
      </c>
      <c r="Y69" s="74">
        <v>0</v>
      </c>
      <c r="Z69" s="74">
        <v>0</v>
      </c>
      <c r="AA69" s="74">
        <v>0</v>
      </c>
      <c r="AB69" s="74">
        <v>0</v>
      </c>
      <c r="AC69" s="74">
        <v>0</v>
      </c>
      <c r="AD69" s="74">
        <v>0</v>
      </c>
      <c r="AE69" s="78">
        <v>0</v>
      </c>
      <c r="AF69" s="74">
        <v>0</v>
      </c>
      <c r="AG69" s="74">
        <v>0</v>
      </c>
      <c r="AH69" s="74">
        <v>0</v>
      </c>
      <c r="AI69" s="74">
        <v>0</v>
      </c>
      <c r="AJ69" s="74">
        <v>0</v>
      </c>
      <c r="AK69" s="74">
        <v>0</v>
      </c>
      <c r="AL69" s="74">
        <v>0</v>
      </c>
      <c r="AM69" s="74">
        <v>0</v>
      </c>
      <c r="AN69" s="74">
        <v>0</v>
      </c>
      <c r="AO69" s="74">
        <v>0</v>
      </c>
      <c r="AP69" s="74">
        <v>0</v>
      </c>
      <c r="AQ69" s="74">
        <v>0</v>
      </c>
      <c r="AR69" s="74">
        <v>0</v>
      </c>
      <c r="AS69" s="74">
        <v>0</v>
      </c>
      <c r="AT69" s="74">
        <v>0</v>
      </c>
      <c r="AU69" s="74">
        <v>0</v>
      </c>
      <c r="AV69" s="74">
        <v>0</v>
      </c>
      <c r="AW69" s="74">
        <v>0</v>
      </c>
      <c r="AX69" s="74">
        <v>0</v>
      </c>
      <c r="AY69" s="74">
        <v>0</v>
      </c>
      <c r="AZ69" s="74">
        <v>0</v>
      </c>
      <c r="BA69" s="74">
        <v>1</v>
      </c>
      <c r="BB69" s="74">
        <v>1</v>
      </c>
      <c r="BC69" s="78">
        <v>1</v>
      </c>
      <c r="BD69" s="74">
        <v>1</v>
      </c>
      <c r="BE69" s="74">
        <v>1</v>
      </c>
      <c r="BF69" s="74">
        <v>1</v>
      </c>
      <c r="BG69" s="74">
        <v>1</v>
      </c>
      <c r="BH69" s="74">
        <v>1</v>
      </c>
      <c r="BI69" s="74">
        <v>1</v>
      </c>
      <c r="BJ69" s="74">
        <v>1</v>
      </c>
      <c r="BK69" s="74">
        <v>1</v>
      </c>
      <c r="BL69" s="74">
        <v>1</v>
      </c>
      <c r="BM69" s="74">
        <v>1</v>
      </c>
      <c r="BN69" s="74">
        <v>1</v>
      </c>
      <c r="BO69" s="74">
        <v>1</v>
      </c>
      <c r="BP69" s="74">
        <v>1</v>
      </c>
      <c r="BQ69" s="74">
        <v>1</v>
      </c>
      <c r="BR69" s="74">
        <v>1</v>
      </c>
      <c r="BS69" s="74">
        <v>1</v>
      </c>
      <c r="BT69" s="74">
        <v>1</v>
      </c>
      <c r="BU69" s="74">
        <v>1</v>
      </c>
      <c r="BV69" s="74">
        <v>1</v>
      </c>
      <c r="BW69" s="74">
        <v>1</v>
      </c>
      <c r="BX69" s="74">
        <v>1</v>
      </c>
      <c r="BY69" s="74">
        <v>1</v>
      </c>
      <c r="BZ69" s="74">
        <v>1</v>
      </c>
      <c r="CA69" s="78">
        <v>1</v>
      </c>
      <c r="CB69" s="74">
        <v>1</v>
      </c>
      <c r="CC69" s="74">
        <v>1</v>
      </c>
      <c r="CD69" s="74">
        <v>1</v>
      </c>
      <c r="CE69" s="74">
        <v>1</v>
      </c>
      <c r="CF69" s="74">
        <v>1</v>
      </c>
      <c r="CG69" s="74">
        <v>1</v>
      </c>
      <c r="CH69" s="74">
        <v>1</v>
      </c>
      <c r="CI69" s="74">
        <v>1</v>
      </c>
      <c r="CJ69" s="74">
        <v>1</v>
      </c>
      <c r="CK69" s="74">
        <v>1</v>
      </c>
      <c r="CL69" s="74">
        <v>1</v>
      </c>
      <c r="CM69" s="74">
        <v>1</v>
      </c>
      <c r="CN69" s="74">
        <v>1</v>
      </c>
      <c r="CO69" s="74">
        <v>1</v>
      </c>
      <c r="CP69" s="74">
        <v>1</v>
      </c>
      <c r="CQ69" s="74">
        <v>1</v>
      </c>
      <c r="CR69" s="74">
        <v>1</v>
      </c>
      <c r="CS69" s="74">
        <v>1</v>
      </c>
      <c r="CT69" s="74">
        <v>1</v>
      </c>
      <c r="CU69" s="74">
        <v>1</v>
      </c>
      <c r="CV69" s="74">
        <v>1</v>
      </c>
      <c r="CW69" s="74">
        <v>1</v>
      </c>
      <c r="CX69" s="74">
        <v>1</v>
      </c>
      <c r="CY69" s="78">
        <v>1</v>
      </c>
      <c r="CZ69" s="74">
        <v>1</v>
      </c>
      <c r="DA69" s="74">
        <v>1</v>
      </c>
      <c r="DB69" s="74">
        <v>1</v>
      </c>
      <c r="DC69" s="74">
        <v>1</v>
      </c>
      <c r="DD69" s="74">
        <v>1</v>
      </c>
      <c r="DE69" s="74">
        <v>1</v>
      </c>
      <c r="DF69" s="74">
        <v>1</v>
      </c>
      <c r="DG69" s="74">
        <v>1</v>
      </c>
      <c r="DH69" s="74">
        <v>1</v>
      </c>
      <c r="DI69" s="74">
        <v>1</v>
      </c>
      <c r="DJ69" s="74">
        <v>1</v>
      </c>
      <c r="DK69" s="74">
        <v>1</v>
      </c>
      <c r="DL69" s="74">
        <v>1</v>
      </c>
      <c r="DM69" s="74">
        <v>1</v>
      </c>
      <c r="DN69" s="74">
        <v>1</v>
      </c>
      <c r="DO69" s="74">
        <v>1</v>
      </c>
      <c r="DP69" s="74">
        <v>1</v>
      </c>
      <c r="DQ69" s="74">
        <v>1</v>
      </c>
      <c r="DR69" s="74">
        <v>1</v>
      </c>
      <c r="DS69" s="74">
        <v>1</v>
      </c>
      <c r="DT69" s="74">
        <v>1</v>
      </c>
      <c r="DU69" s="74">
        <v>1</v>
      </c>
      <c r="DV69" s="74">
        <v>1</v>
      </c>
      <c r="DW69" s="78">
        <v>1</v>
      </c>
      <c r="DX69" s="74">
        <v>1</v>
      </c>
      <c r="DY69" s="74">
        <v>1</v>
      </c>
      <c r="DZ69" s="74">
        <v>1</v>
      </c>
      <c r="EA69" s="74">
        <v>1</v>
      </c>
      <c r="EB69" s="74">
        <v>1</v>
      </c>
      <c r="EC69" s="74">
        <v>1</v>
      </c>
      <c r="ED69" s="74">
        <v>1</v>
      </c>
      <c r="EE69" s="74">
        <v>1</v>
      </c>
      <c r="EF69" s="74">
        <v>1</v>
      </c>
      <c r="EG69" s="74">
        <v>1</v>
      </c>
      <c r="EH69" s="74">
        <v>1</v>
      </c>
      <c r="EI69" s="74">
        <v>1</v>
      </c>
      <c r="EJ69" s="74">
        <v>1</v>
      </c>
      <c r="EK69" s="74">
        <v>1</v>
      </c>
      <c r="EL69" s="74">
        <v>1</v>
      </c>
      <c r="EM69" s="74">
        <v>1</v>
      </c>
      <c r="EN69" s="74">
        <v>1</v>
      </c>
      <c r="EO69" s="74">
        <v>1</v>
      </c>
      <c r="EP69" s="74">
        <v>1</v>
      </c>
      <c r="EQ69" s="74">
        <v>1</v>
      </c>
      <c r="ER69" s="74">
        <v>1</v>
      </c>
      <c r="ES69" s="74">
        <v>1</v>
      </c>
      <c r="ET69" s="74">
        <v>1</v>
      </c>
      <c r="EU69" s="78">
        <v>1</v>
      </c>
      <c r="EV69" s="74">
        <v>1</v>
      </c>
      <c r="EW69" s="74">
        <v>1</v>
      </c>
      <c r="EX69" s="74">
        <v>1</v>
      </c>
      <c r="EY69" s="74">
        <v>1</v>
      </c>
      <c r="EZ69" s="74">
        <v>1</v>
      </c>
      <c r="FA69" s="74">
        <v>1</v>
      </c>
      <c r="FB69" s="74">
        <v>1</v>
      </c>
      <c r="FC69" s="74">
        <v>1</v>
      </c>
      <c r="FD69" s="74">
        <v>1</v>
      </c>
      <c r="FE69" s="74">
        <v>1</v>
      </c>
      <c r="FF69" s="74">
        <v>1</v>
      </c>
      <c r="FG69" s="74">
        <v>1</v>
      </c>
      <c r="FH69" s="74">
        <v>1</v>
      </c>
      <c r="FI69" s="74">
        <v>1</v>
      </c>
      <c r="FJ69" s="74">
        <v>1</v>
      </c>
      <c r="FK69" s="74">
        <v>1</v>
      </c>
      <c r="FL69" s="74">
        <v>1</v>
      </c>
      <c r="FM69" s="74">
        <v>1</v>
      </c>
      <c r="FN69" s="74">
        <v>1</v>
      </c>
      <c r="FO69" s="74">
        <v>1</v>
      </c>
      <c r="FP69" s="74">
        <v>1</v>
      </c>
      <c r="FQ69" s="74">
        <v>1</v>
      </c>
      <c r="FR69" s="74">
        <v>1</v>
      </c>
      <c r="FS69" s="78">
        <v>1</v>
      </c>
      <c r="FT69" s="74">
        <v>1</v>
      </c>
      <c r="FU69" s="74">
        <v>1</v>
      </c>
      <c r="FV69" s="74">
        <v>1</v>
      </c>
      <c r="FW69" s="74">
        <v>1</v>
      </c>
      <c r="FX69" s="74">
        <v>1</v>
      </c>
      <c r="FY69" s="74">
        <v>1</v>
      </c>
      <c r="FZ69" s="74">
        <v>1</v>
      </c>
      <c r="GA69" s="74">
        <v>1</v>
      </c>
      <c r="GB69" s="74">
        <v>1</v>
      </c>
      <c r="GC69" s="74">
        <v>1</v>
      </c>
      <c r="GD69" s="74">
        <v>1</v>
      </c>
      <c r="GE69" s="74">
        <v>1</v>
      </c>
      <c r="GF69" s="74">
        <v>1</v>
      </c>
      <c r="GG69" s="74">
        <v>1</v>
      </c>
      <c r="GH69" s="74">
        <v>1</v>
      </c>
      <c r="GI69" s="74">
        <v>1</v>
      </c>
      <c r="GJ69" s="74">
        <v>1</v>
      </c>
      <c r="GK69" s="74">
        <v>1</v>
      </c>
      <c r="GL69" s="74">
        <v>1</v>
      </c>
      <c r="GM69" s="74">
        <v>1</v>
      </c>
      <c r="GN69" s="74">
        <v>1</v>
      </c>
      <c r="GO69" s="74">
        <v>1</v>
      </c>
      <c r="GP69" s="74">
        <v>1</v>
      </c>
      <c r="GQ69" s="78">
        <v>1</v>
      </c>
      <c r="GR69" s="74">
        <v>1</v>
      </c>
      <c r="GS69" s="74">
        <v>1</v>
      </c>
      <c r="GT69" s="74">
        <v>1</v>
      </c>
      <c r="GU69" s="74">
        <v>1</v>
      </c>
      <c r="GV69" s="74">
        <v>1</v>
      </c>
      <c r="GW69" s="74">
        <v>1</v>
      </c>
      <c r="GX69" s="74">
        <v>1</v>
      </c>
      <c r="GY69" s="74">
        <v>1</v>
      </c>
      <c r="GZ69" s="74">
        <v>1</v>
      </c>
      <c r="HA69" s="74">
        <v>1</v>
      </c>
      <c r="HB69" s="74">
        <v>1</v>
      </c>
      <c r="HC69" s="74">
        <v>1</v>
      </c>
      <c r="HD69" s="74">
        <v>1</v>
      </c>
      <c r="HE69" s="74">
        <v>1</v>
      </c>
      <c r="HF69" s="74">
        <v>1</v>
      </c>
      <c r="HG69" s="74">
        <v>1</v>
      </c>
      <c r="HH69" s="74">
        <v>1</v>
      </c>
      <c r="HI69" s="74">
        <v>1</v>
      </c>
      <c r="HJ69" s="74">
        <v>1</v>
      </c>
      <c r="HK69" s="74">
        <v>1</v>
      </c>
      <c r="HL69" s="74">
        <v>1</v>
      </c>
      <c r="HM69" s="74">
        <v>1</v>
      </c>
      <c r="HN69" s="74">
        <v>1</v>
      </c>
      <c r="HO69" s="74">
        <v>1</v>
      </c>
      <c r="HP69" s="74">
        <v>1</v>
      </c>
      <c r="HQ69" s="74">
        <v>1</v>
      </c>
      <c r="HR69" s="74">
        <v>1</v>
      </c>
      <c r="HS69" s="74">
        <v>1</v>
      </c>
      <c r="HT69" s="74">
        <v>1</v>
      </c>
      <c r="HU69" s="74">
        <v>1</v>
      </c>
      <c r="HV69" s="74">
        <v>1</v>
      </c>
      <c r="HW69" s="74">
        <v>1</v>
      </c>
      <c r="HX69" s="75">
        <v>1</v>
      </c>
    </row>
    <row r="70" spans="2:232" x14ac:dyDescent="0.2">
      <c r="B70" s="80" t="s">
        <v>116</v>
      </c>
      <c r="C70" s="80" t="s">
        <v>132</v>
      </c>
      <c r="D70" s="81">
        <v>5</v>
      </c>
      <c r="E70" s="80" t="s">
        <v>127</v>
      </c>
      <c r="F70" s="80" t="s">
        <v>123</v>
      </c>
      <c r="G70" s="78">
        <v>1</v>
      </c>
      <c r="H70" s="74">
        <v>1</v>
      </c>
      <c r="I70" s="74">
        <v>1</v>
      </c>
      <c r="J70" s="74">
        <v>1</v>
      </c>
      <c r="K70" s="74">
        <v>1</v>
      </c>
      <c r="L70" s="74">
        <v>1</v>
      </c>
      <c r="M70" s="74">
        <v>1</v>
      </c>
      <c r="N70" s="74">
        <v>1</v>
      </c>
      <c r="O70" s="74">
        <v>1</v>
      </c>
      <c r="P70" s="74">
        <v>1</v>
      </c>
      <c r="Q70" s="74">
        <v>1</v>
      </c>
      <c r="R70" s="74">
        <v>1</v>
      </c>
      <c r="S70" s="74">
        <v>1</v>
      </c>
      <c r="T70" s="74">
        <v>1</v>
      </c>
      <c r="U70" s="74">
        <v>1</v>
      </c>
      <c r="V70" s="74">
        <v>1</v>
      </c>
      <c r="W70" s="74">
        <v>1</v>
      </c>
      <c r="X70" s="74">
        <v>1</v>
      </c>
      <c r="Y70" s="74">
        <v>1</v>
      </c>
      <c r="Z70" s="74">
        <v>1</v>
      </c>
      <c r="AA70" s="74">
        <v>1</v>
      </c>
      <c r="AB70" s="74">
        <v>1</v>
      </c>
      <c r="AC70" s="74">
        <v>1</v>
      </c>
      <c r="AD70" s="74">
        <v>1</v>
      </c>
      <c r="AE70" s="78">
        <v>1</v>
      </c>
      <c r="AF70" s="74">
        <v>1</v>
      </c>
      <c r="AG70" s="74">
        <v>1</v>
      </c>
      <c r="AH70" s="74">
        <v>1</v>
      </c>
      <c r="AI70" s="74">
        <v>1</v>
      </c>
      <c r="AJ70" s="74">
        <v>1</v>
      </c>
      <c r="AK70" s="74">
        <v>1</v>
      </c>
      <c r="AL70" s="74">
        <v>1</v>
      </c>
      <c r="AM70" s="74">
        <v>1</v>
      </c>
      <c r="AN70" s="74">
        <v>1</v>
      </c>
      <c r="AO70" s="74">
        <v>1</v>
      </c>
      <c r="AP70" s="74">
        <v>1</v>
      </c>
      <c r="AQ70" s="74">
        <v>1</v>
      </c>
      <c r="AR70" s="74">
        <v>1</v>
      </c>
      <c r="AS70" s="74">
        <v>1</v>
      </c>
      <c r="AT70" s="74">
        <v>1</v>
      </c>
      <c r="AU70" s="74">
        <v>1</v>
      </c>
      <c r="AV70" s="74">
        <v>1</v>
      </c>
      <c r="AW70" s="74">
        <v>1</v>
      </c>
      <c r="AX70" s="74">
        <v>1</v>
      </c>
      <c r="AY70" s="74">
        <v>1</v>
      </c>
      <c r="AZ70" s="74">
        <v>1</v>
      </c>
      <c r="BA70" s="74">
        <v>1</v>
      </c>
      <c r="BB70" s="74">
        <v>1</v>
      </c>
      <c r="BC70" s="78">
        <v>1</v>
      </c>
      <c r="BD70" s="74">
        <v>1</v>
      </c>
      <c r="BE70" s="74">
        <v>1</v>
      </c>
      <c r="BF70" s="74">
        <v>1</v>
      </c>
      <c r="BG70" s="74">
        <v>1</v>
      </c>
      <c r="BH70" s="74">
        <v>1</v>
      </c>
      <c r="BI70" s="74">
        <v>1</v>
      </c>
      <c r="BJ70" s="74">
        <v>1</v>
      </c>
      <c r="BK70" s="74">
        <v>1</v>
      </c>
      <c r="BL70" s="74">
        <v>1</v>
      </c>
      <c r="BM70" s="74">
        <v>1</v>
      </c>
      <c r="BN70" s="74">
        <v>1</v>
      </c>
      <c r="BO70" s="74">
        <v>1</v>
      </c>
      <c r="BP70" s="74">
        <v>1</v>
      </c>
      <c r="BQ70" s="74">
        <v>1</v>
      </c>
      <c r="BR70" s="74">
        <v>1</v>
      </c>
      <c r="BS70" s="74">
        <v>1</v>
      </c>
      <c r="BT70" s="74">
        <v>1</v>
      </c>
      <c r="BU70" s="74">
        <v>1</v>
      </c>
      <c r="BV70" s="74">
        <v>1</v>
      </c>
      <c r="BW70" s="74">
        <v>1</v>
      </c>
      <c r="BX70" s="74">
        <v>1</v>
      </c>
      <c r="BY70" s="74">
        <v>1</v>
      </c>
      <c r="BZ70" s="74">
        <v>1</v>
      </c>
      <c r="CA70" s="78">
        <v>1</v>
      </c>
      <c r="CB70" s="74">
        <v>1</v>
      </c>
      <c r="CC70" s="74">
        <v>1</v>
      </c>
      <c r="CD70" s="74">
        <v>1</v>
      </c>
      <c r="CE70" s="74">
        <v>1</v>
      </c>
      <c r="CF70" s="74">
        <v>1</v>
      </c>
      <c r="CG70" s="74">
        <v>1</v>
      </c>
      <c r="CH70" s="74">
        <v>1</v>
      </c>
      <c r="CI70" s="74">
        <v>1</v>
      </c>
      <c r="CJ70" s="74">
        <v>1</v>
      </c>
      <c r="CK70" s="74">
        <v>1</v>
      </c>
      <c r="CL70" s="74">
        <v>1</v>
      </c>
      <c r="CM70" s="74">
        <v>1</v>
      </c>
      <c r="CN70" s="74">
        <v>1</v>
      </c>
      <c r="CO70" s="74">
        <v>1</v>
      </c>
      <c r="CP70" s="74">
        <v>1</v>
      </c>
      <c r="CQ70" s="74">
        <v>1</v>
      </c>
      <c r="CR70" s="74">
        <v>1</v>
      </c>
      <c r="CS70" s="74">
        <v>1</v>
      </c>
      <c r="CT70" s="74">
        <v>1</v>
      </c>
      <c r="CU70" s="74">
        <v>1</v>
      </c>
      <c r="CV70" s="74">
        <v>1</v>
      </c>
      <c r="CW70" s="74">
        <v>1</v>
      </c>
      <c r="CX70" s="74">
        <v>1</v>
      </c>
      <c r="CY70" s="78">
        <v>1</v>
      </c>
      <c r="CZ70" s="74">
        <v>1</v>
      </c>
      <c r="DA70" s="74">
        <v>1</v>
      </c>
      <c r="DB70" s="74">
        <v>1</v>
      </c>
      <c r="DC70" s="74">
        <v>1</v>
      </c>
      <c r="DD70" s="74">
        <v>1</v>
      </c>
      <c r="DE70" s="74">
        <v>1</v>
      </c>
      <c r="DF70" s="74">
        <v>1</v>
      </c>
      <c r="DG70" s="74">
        <v>1</v>
      </c>
      <c r="DH70" s="74">
        <v>1</v>
      </c>
      <c r="DI70" s="74">
        <v>1</v>
      </c>
      <c r="DJ70" s="74">
        <v>1</v>
      </c>
      <c r="DK70" s="74">
        <v>1</v>
      </c>
      <c r="DL70" s="74">
        <v>1</v>
      </c>
      <c r="DM70" s="74">
        <v>1</v>
      </c>
      <c r="DN70" s="74">
        <v>1</v>
      </c>
      <c r="DO70" s="74">
        <v>1</v>
      </c>
      <c r="DP70" s="74">
        <v>1</v>
      </c>
      <c r="DQ70" s="74">
        <v>1</v>
      </c>
      <c r="DR70" s="74">
        <v>1</v>
      </c>
      <c r="DS70" s="74">
        <v>1</v>
      </c>
      <c r="DT70" s="74">
        <v>1</v>
      </c>
      <c r="DU70" s="74">
        <v>1</v>
      </c>
      <c r="DV70" s="74">
        <v>1</v>
      </c>
      <c r="DW70" s="78">
        <v>1</v>
      </c>
      <c r="DX70" s="74">
        <v>1</v>
      </c>
      <c r="DY70" s="74">
        <v>1</v>
      </c>
      <c r="DZ70" s="74">
        <v>1</v>
      </c>
      <c r="EA70" s="74">
        <v>1</v>
      </c>
      <c r="EB70" s="74">
        <v>1</v>
      </c>
      <c r="EC70" s="74">
        <v>1</v>
      </c>
      <c r="ED70" s="74">
        <v>1</v>
      </c>
      <c r="EE70" s="74">
        <v>1</v>
      </c>
      <c r="EF70" s="74">
        <v>1</v>
      </c>
      <c r="EG70" s="74">
        <v>1</v>
      </c>
      <c r="EH70" s="74">
        <v>1</v>
      </c>
      <c r="EI70" s="74">
        <v>1</v>
      </c>
      <c r="EJ70" s="74">
        <v>1</v>
      </c>
      <c r="EK70" s="74">
        <v>1</v>
      </c>
      <c r="EL70" s="74">
        <v>1</v>
      </c>
      <c r="EM70" s="74">
        <v>1</v>
      </c>
      <c r="EN70" s="74">
        <v>1</v>
      </c>
      <c r="EO70" s="74">
        <v>1</v>
      </c>
      <c r="EP70" s="74">
        <v>1</v>
      </c>
      <c r="EQ70" s="74">
        <v>1</v>
      </c>
      <c r="ER70" s="74">
        <v>1</v>
      </c>
      <c r="ES70" s="74">
        <v>1</v>
      </c>
      <c r="ET70" s="74">
        <v>1</v>
      </c>
      <c r="EU70" s="78">
        <v>1</v>
      </c>
      <c r="EV70" s="74">
        <v>1</v>
      </c>
      <c r="EW70" s="74">
        <v>1</v>
      </c>
      <c r="EX70" s="74">
        <v>1</v>
      </c>
      <c r="EY70" s="74">
        <v>1</v>
      </c>
      <c r="EZ70" s="74">
        <v>1</v>
      </c>
      <c r="FA70" s="74">
        <v>1</v>
      </c>
      <c r="FB70" s="74">
        <v>1</v>
      </c>
      <c r="FC70" s="74">
        <v>1</v>
      </c>
      <c r="FD70" s="74">
        <v>1</v>
      </c>
      <c r="FE70" s="74">
        <v>1</v>
      </c>
      <c r="FF70" s="74">
        <v>1</v>
      </c>
      <c r="FG70" s="74">
        <v>1</v>
      </c>
      <c r="FH70" s="74">
        <v>1</v>
      </c>
      <c r="FI70" s="74">
        <v>1</v>
      </c>
      <c r="FJ70" s="74">
        <v>1</v>
      </c>
      <c r="FK70" s="74">
        <v>1</v>
      </c>
      <c r="FL70" s="74">
        <v>1</v>
      </c>
      <c r="FM70" s="74">
        <v>1</v>
      </c>
      <c r="FN70" s="74">
        <v>1</v>
      </c>
      <c r="FO70" s="74">
        <v>1</v>
      </c>
      <c r="FP70" s="74">
        <v>1</v>
      </c>
      <c r="FQ70" s="74">
        <v>1</v>
      </c>
      <c r="FR70" s="74">
        <v>1</v>
      </c>
      <c r="FS70" s="78">
        <v>1</v>
      </c>
      <c r="FT70" s="74">
        <v>1</v>
      </c>
      <c r="FU70" s="74">
        <v>1</v>
      </c>
      <c r="FV70" s="74">
        <v>1</v>
      </c>
      <c r="FW70" s="74">
        <v>1</v>
      </c>
      <c r="FX70" s="74">
        <v>1</v>
      </c>
      <c r="FY70" s="74">
        <v>1</v>
      </c>
      <c r="FZ70" s="74">
        <v>1</v>
      </c>
      <c r="GA70" s="74">
        <v>1</v>
      </c>
      <c r="GB70" s="74">
        <v>1</v>
      </c>
      <c r="GC70" s="74">
        <v>1</v>
      </c>
      <c r="GD70" s="74">
        <v>1</v>
      </c>
      <c r="GE70" s="74">
        <v>1</v>
      </c>
      <c r="GF70" s="74">
        <v>1</v>
      </c>
      <c r="GG70" s="74">
        <v>1</v>
      </c>
      <c r="GH70" s="74">
        <v>1</v>
      </c>
      <c r="GI70" s="74">
        <v>1</v>
      </c>
      <c r="GJ70" s="74">
        <v>1</v>
      </c>
      <c r="GK70" s="74">
        <v>1</v>
      </c>
      <c r="GL70" s="74">
        <v>1</v>
      </c>
      <c r="GM70" s="74">
        <v>1</v>
      </c>
      <c r="GN70" s="74">
        <v>1</v>
      </c>
      <c r="GO70" s="74">
        <v>1</v>
      </c>
      <c r="GP70" s="74">
        <v>1</v>
      </c>
      <c r="GQ70" s="78">
        <v>1</v>
      </c>
      <c r="GR70" s="74">
        <v>1</v>
      </c>
      <c r="GS70" s="74">
        <v>1</v>
      </c>
      <c r="GT70" s="74">
        <v>1</v>
      </c>
      <c r="GU70" s="74">
        <v>1</v>
      </c>
      <c r="GV70" s="74">
        <v>1</v>
      </c>
      <c r="GW70" s="74">
        <v>1</v>
      </c>
      <c r="GX70" s="74">
        <v>1</v>
      </c>
      <c r="GY70" s="74">
        <v>1</v>
      </c>
      <c r="GZ70" s="74">
        <v>1</v>
      </c>
      <c r="HA70" s="74">
        <v>1</v>
      </c>
      <c r="HB70" s="74">
        <v>1</v>
      </c>
      <c r="HC70" s="74">
        <v>1</v>
      </c>
      <c r="HD70" s="74">
        <v>1</v>
      </c>
      <c r="HE70" s="74">
        <v>1</v>
      </c>
      <c r="HF70" s="74">
        <v>1</v>
      </c>
      <c r="HG70" s="74">
        <v>1</v>
      </c>
      <c r="HH70" s="74">
        <v>1</v>
      </c>
      <c r="HI70" s="74">
        <v>1</v>
      </c>
      <c r="HJ70" s="74">
        <v>1</v>
      </c>
      <c r="HK70" s="74">
        <v>1</v>
      </c>
      <c r="HL70" s="74">
        <v>1</v>
      </c>
      <c r="HM70" s="74">
        <v>1</v>
      </c>
      <c r="HN70" s="74">
        <v>1</v>
      </c>
      <c r="HO70" s="74">
        <v>1</v>
      </c>
      <c r="HP70" s="74">
        <v>1</v>
      </c>
      <c r="HQ70" s="74">
        <v>1</v>
      </c>
      <c r="HR70" s="74">
        <v>1</v>
      </c>
      <c r="HS70" s="74">
        <v>1</v>
      </c>
      <c r="HT70" s="74">
        <v>1</v>
      </c>
      <c r="HU70" s="74">
        <v>1</v>
      </c>
      <c r="HV70" s="74">
        <v>1</v>
      </c>
      <c r="HW70" s="74">
        <v>1</v>
      </c>
      <c r="HX70" s="75">
        <v>1</v>
      </c>
    </row>
    <row r="71" spans="2:232" x14ac:dyDescent="0.2">
      <c r="B71" s="80" t="s">
        <v>117</v>
      </c>
      <c r="C71" s="80" t="s">
        <v>132</v>
      </c>
      <c r="D71" s="81">
        <v>5</v>
      </c>
      <c r="E71" s="80" t="s">
        <v>127</v>
      </c>
      <c r="F71" s="80" t="s">
        <v>123</v>
      </c>
      <c r="G71" s="78">
        <v>1</v>
      </c>
      <c r="H71" s="74">
        <v>1</v>
      </c>
      <c r="I71" s="74">
        <v>1</v>
      </c>
      <c r="J71" s="74">
        <v>1</v>
      </c>
      <c r="K71" s="74">
        <v>1</v>
      </c>
      <c r="L71" s="74">
        <v>1</v>
      </c>
      <c r="M71" s="74">
        <v>1</v>
      </c>
      <c r="N71" s="74">
        <v>1</v>
      </c>
      <c r="O71" s="74">
        <v>1</v>
      </c>
      <c r="P71" s="74">
        <v>1</v>
      </c>
      <c r="Q71" s="74">
        <v>1</v>
      </c>
      <c r="R71" s="74">
        <v>1</v>
      </c>
      <c r="S71" s="74">
        <v>1</v>
      </c>
      <c r="T71" s="74">
        <v>1</v>
      </c>
      <c r="U71" s="74">
        <v>1</v>
      </c>
      <c r="V71" s="74">
        <v>1</v>
      </c>
      <c r="W71" s="74">
        <v>1</v>
      </c>
      <c r="X71" s="74">
        <v>1</v>
      </c>
      <c r="Y71" s="74">
        <v>1</v>
      </c>
      <c r="Z71" s="74">
        <v>1</v>
      </c>
      <c r="AA71" s="74">
        <v>1</v>
      </c>
      <c r="AB71" s="74">
        <v>1</v>
      </c>
      <c r="AC71" s="74">
        <v>1</v>
      </c>
      <c r="AD71" s="74">
        <v>1</v>
      </c>
      <c r="AE71" s="78">
        <v>1</v>
      </c>
      <c r="AF71" s="74">
        <v>1</v>
      </c>
      <c r="AG71" s="74">
        <v>1</v>
      </c>
      <c r="AH71" s="74">
        <v>1</v>
      </c>
      <c r="AI71" s="74">
        <v>1</v>
      </c>
      <c r="AJ71" s="74">
        <v>1</v>
      </c>
      <c r="AK71" s="74">
        <v>1</v>
      </c>
      <c r="AL71" s="74">
        <v>1</v>
      </c>
      <c r="AM71" s="74">
        <v>1</v>
      </c>
      <c r="AN71" s="74">
        <v>1</v>
      </c>
      <c r="AO71" s="74">
        <v>1</v>
      </c>
      <c r="AP71" s="74">
        <v>1</v>
      </c>
      <c r="AQ71" s="74">
        <v>1</v>
      </c>
      <c r="AR71" s="74">
        <v>1</v>
      </c>
      <c r="AS71" s="74">
        <v>1</v>
      </c>
      <c r="AT71" s="74">
        <v>1</v>
      </c>
      <c r="AU71" s="74">
        <v>1</v>
      </c>
      <c r="AV71" s="74">
        <v>1</v>
      </c>
      <c r="AW71" s="74">
        <v>1</v>
      </c>
      <c r="AX71" s="74">
        <v>1</v>
      </c>
      <c r="AY71" s="74">
        <v>1</v>
      </c>
      <c r="AZ71" s="74">
        <v>1</v>
      </c>
      <c r="BA71" s="74">
        <v>1</v>
      </c>
      <c r="BB71" s="74">
        <v>1</v>
      </c>
      <c r="BC71" s="78">
        <v>1</v>
      </c>
      <c r="BD71" s="74">
        <v>1</v>
      </c>
      <c r="BE71" s="74">
        <v>1</v>
      </c>
      <c r="BF71" s="74">
        <v>1</v>
      </c>
      <c r="BG71" s="74">
        <v>1</v>
      </c>
      <c r="BH71" s="74">
        <v>1</v>
      </c>
      <c r="BI71" s="74">
        <v>1</v>
      </c>
      <c r="BJ71" s="74">
        <v>1</v>
      </c>
      <c r="BK71" s="74">
        <v>1</v>
      </c>
      <c r="BL71" s="74">
        <v>1</v>
      </c>
      <c r="BM71" s="74">
        <v>1</v>
      </c>
      <c r="BN71" s="74">
        <v>1</v>
      </c>
      <c r="BO71" s="74">
        <v>1</v>
      </c>
      <c r="BP71" s="74">
        <v>1</v>
      </c>
      <c r="BQ71" s="74">
        <v>1</v>
      </c>
      <c r="BR71" s="74">
        <v>1</v>
      </c>
      <c r="BS71" s="74">
        <v>1</v>
      </c>
      <c r="BT71" s="74">
        <v>1</v>
      </c>
      <c r="BU71" s="74">
        <v>1</v>
      </c>
      <c r="BV71" s="74">
        <v>1</v>
      </c>
      <c r="BW71" s="74">
        <v>1</v>
      </c>
      <c r="BX71" s="74">
        <v>1</v>
      </c>
      <c r="BY71" s="74">
        <v>1</v>
      </c>
      <c r="BZ71" s="74">
        <v>1</v>
      </c>
      <c r="CA71" s="78">
        <v>1</v>
      </c>
      <c r="CB71" s="74">
        <v>1</v>
      </c>
      <c r="CC71" s="74">
        <v>1</v>
      </c>
      <c r="CD71" s="74">
        <v>1</v>
      </c>
      <c r="CE71" s="74">
        <v>1</v>
      </c>
      <c r="CF71" s="74">
        <v>1</v>
      </c>
      <c r="CG71" s="74">
        <v>1</v>
      </c>
      <c r="CH71" s="74">
        <v>1</v>
      </c>
      <c r="CI71" s="74">
        <v>1</v>
      </c>
      <c r="CJ71" s="74">
        <v>1</v>
      </c>
      <c r="CK71" s="74">
        <v>1</v>
      </c>
      <c r="CL71" s="74">
        <v>1</v>
      </c>
      <c r="CM71" s="74">
        <v>1</v>
      </c>
      <c r="CN71" s="74">
        <v>1</v>
      </c>
      <c r="CO71" s="74">
        <v>1</v>
      </c>
      <c r="CP71" s="74">
        <v>1</v>
      </c>
      <c r="CQ71" s="74">
        <v>1</v>
      </c>
      <c r="CR71" s="74">
        <v>1</v>
      </c>
      <c r="CS71" s="74">
        <v>1</v>
      </c>
      <c r="CT71" s="74">
        <v>1</v>
      </c>
      <c r="CU71" s="74">
        <v>1</v>
      </c>
      <c r="CV71" s="74">
        <v>1</v>
      </c>
      <c r="CW71" s="74">
        <v>1</v>
      </c>
      <c r="CX71" s="74">
        <v>1</v>
      </c>
      <c r="CY71" s="78">
        <v>1</v>
      </c>
      <c r="CZ71" s="74">
        <v>1</v>
      </c>
      <c r="DA71" s="74">
        <v>1</v>
      </c>
      <c r="DB71" s="74">
        <v>1</v>
      </c>
      <c r="DC71" s="74">
        <v>1</v>
      </c>
      <c r="DD71" s="74">
        <v>1</v>
      </c>
      <c r="DE71" s="74">
        <v>1</v>
      </c>
      <c r="DF71" s="74">
        <v>1</v>
      </c>
      <c r="DG71" s="74">
        <v>1</v>
      </c>
      <c r="DH71" s="74">
        <v>1</v>
      </c>
      <c r="DI71" s="74">
        <v>1</v>
      </c>
      <c r="DJ71" s="74">
        <v>1</v>
      </c>
      <c r="DK71" s="74">
        <v>1</v>
      </c>
      <c r="DL71" s="74">
        <v>1</v>
      </c>
      <c r="DM71" s="74">
        <v>1</v>
      </c>
      <c r="DN71" s="74">
        <v>1</v>
      </c>
      <c r="DO71" s="74">
        <v>1</v>
      </c>
      <c r="DP71" s="74">
        <v>1</v>
      </c>
      <c r="DQ71" s="74">
        <v>1</v>
      </c>
      <c r="DR71" s="74">
        <v>1</v>
      </c>
      <c r="DS71" s="74">
        <v>1</v>
      </c>
      <c r="DT71" s="74">
        <v>1</v>
      </c>
      <c r="DU71" s="74">
        <v>1</v>
      </c>
      <c r="DV71" s="74">
        <v>1</v>
      </c>
      <c r="DW71" s="78">
        <v>1</v>
      </c>
      <c r="DX71" s="74">
        <v>1</v>
      </c>
      <c r="DY71" s="74">
        <v>1</v>
      </c>
      <c r="DZ71" s="74">
        <v>1</v>
      </c>
      <c r="EA71" s="74">
        <v>1</v>
      </c>
      <c r="EB71" s="74">
        <v>1</v>
      </c>
      <c r="EC71" s="74">
        <v>1</v>
      </c>
      <c r="ED71" s="74">
        <v>1</v>
      </c>
      <c r="EE71" s="74">
        <v>1</v>
      </c>
      <c r="EF71" s="74">
        <v>1</v>
      </c>
      <c r="EG71" s="74">
        <v>1</v>
      </c>
      <c r="EH71" s="74">
        <v>1</v>
      </c>
      <c r="EI71" s="74">
        <v>1</v>
      </c>
      <c r="EJ71" s="74">
        <v>1</v>
      </c>
      <c r="EK71" s="74">
        <v>1</v>
      </c>
      <c r="EL71" s="74">
        <v>1</v>
      </c>
      <c r="EM71" s="74">
        <v>1</v>
      </c>
      <c r="EN71" s="74">
        <v>1</v>
      </c>
      <c r="EO71" s="74">
        <v>1</v>
      </c>
      <c r="EP71" s="74">
        <v>1</v>
      </c>
      <c r="EQ71" s="74">
        <v>1</v>
      </c>
      <c r="ER71" s="74">
        <v>1</v>
      </c>
      <c r="ES71" s="74">
        <v>1</v>
      </c>
      <c r="ET71" s="74">
        <v>1</v>
      </c>
      <c r="EU71" s="78">
        <v>1</v>
      </c>
      <c r="EV71" s="74">
        <v>1</v>
      </c>
      <c r="EW71" s="74">
        <v>1</v>
      </c>
      <c r="EX71" s="74">
        <v>1</v>
      </c>
      <c r="EY71" s="74">
        <v>1</v>
      </c>
      <c r="EZ71" s="74">
        <v>1</v>
      </c>
      <c r="FA71" s="74">
        <v>1</v>
      </c>
      <c r="FB71" s="74">
        <v>1</v>
      </c>
      <c r="FC71" s="74">
        <v>1</v>
      </c>
      <c r="FD71" s="74">
        <v>1</v>
      </c>
      <c r="FE71" s="74">
        <v>1</v>
      </c>
      <c r="FF71" s="74">
        <v>1</v>
      </c>
      <c r="FG71" s="74">
        <v>1</v>
      </c>
      <c r="FH71" s="74">
        <v>1</v>
      </c>
      <c r="FI71" s="74">
        <v>1</v>
      </c>
      <c r="FJ71" s="74">
        <v>1</v>
      </c>
      <c r="FK71" s="74">
        <v>1</v>
      </c>
      <c r="FL71" s="74">
        <v>1</v>
      </c>
      <c r="FM71" s="74">
        <v>1</v>
      </c>
      <c r="FN71" s="74">
        <v>1</v>
      </c>
      <c r="FO71" s="74">
        <v>1</v>
      </c>
      <c r="FP71" s="74">
        <v>1</v>
      </c>
      <c r="FQ71" s="74">
        <v>1</v>
      </c>
      <c r="FR71" s="74">
        <v>1</v>
      </c>
      <c r="FS71" s="78">
        <v>1</v>
      </c>
      <c r="FT71" s="74">
        <v>1</v>
      </c>
      <c r="FU71" s="74">
        <v>1</v>
      </c>
      <c r="FV71" s="74">
        <v>1</v>
      </c>
      <c r="FW71" s="74">
        <v>1</v>
      </c>
      <c r="FX71" s="74">
        <v>1</v>
      </c>
      <c r="FY71" s="74">
        <v>1</v>
      </c>
      <c r="FZ71" s="74">
        <v>1</v>
      </c>
      <c r="GA71" s="74">
        <v>1</v>
      </c>
      <c r="GB71" s="74">
        <v>1</v>
      </c>
      <c r="GC71" s="74">
        <v>1</v>
      </c>
      <c r="GD71" s="74">
        <v>1</v>
      </c>
      <c r="GE71" s="74">
        <v>1</v>
      </c>
      <c r="GF71" s="74">
        <v>1</v>
      </c>
      <c r="GG71" s="74">
        <v>1</v>
      </c>
      <c r="GH71" s="74">
        <v>1</v>
      </c>
      <c r="GI71" s="74">
        <v>1</v>
      </c>
      <c r="GJ71" s="74">
        <v>1</v>
      </c>
      <c r="GK71" s="74">
        <v>1</v>
      </c>
      <c r="GL71" s="74">
        <v>1</v>
      </c>
      <c r="GM71" s="74">
        <v>1</v>
      </c>
      <c r="GN71" s="74">
        <v>1</v>
      </c>
      <c r="GO71" s="74">
        <v>1</v>
      </c>
      <c r="GP71" s="74">
        <v>1</v>
      </c>
      <c r="GQ71" s="78">
        <v>1</v>
      </c>
      <c r="GR71" s="74">
        <v>1</v>
      </c>
      <c r="GS71" s="74">
        <v>1</v>
      </c>
      <c r="GT71" s="74">
        <v>1</v>
      </c>
      <c r="GU71" s="74">
        <v>1</v>
      </c>
      <c r="GV71" s="74">
        <v>1</v>
      </c>
      <c r="GW71" s="74">
        <v>1</v>
      </c>
      <c r="GX71" s="74">
        <v>1</v>
      </c>
      <c r="GY71" s="74">
        <v>1</v>
      </c>
      <c r="GZ71" s="74">
        <v>1</v>
      </c>
      <c r="HA71" s="74">
        <v>1</v>
      </c>
      <c r="HB71" s="74">
        <v>1</v>
      </c>
      <c r="HC71" s="74">
        <v>1</v>
      </c>
      <c r="HD71" s="74">
        <v>1</v>
      </c>
      <c r="HE71" s="74">
        <v>1</v>
      </c>
      <c r="HF71" s="74">
        <v>1</v>
      </c>
      <c r="HG71" s="74">
        <v>1</v>
      </c>
      <c r="HH71" s="74">
        <v>1</v>
      </c>
      <c r="HI71" s="74">
        <v>1</v>
      </c>
      <c r="HJ71" s="74">
        <v>1</v>
      </c>
      <c r="HK71" s="74">
        <v>1</v>
      </c>
      <c r="HL71" s="74">
        <v>1</v>
      </c>
      <c r="HM71" s="74">
        <v>1</v>
      </c>
      <c r="HN71" s="74">
        <v>1</v>
      </c>
      <c r="HO71" s="74">
        <v>1</v>
      </c>
      <c r="HP71" s="74">
        <v>1</v>
      </c>
      <c r="HQ71" s="74">
        <v>1</v>
      </c>
      <c r="HR71" s="74">
        <v>1</v>
      </c>
      <c r="HS71" s="74">
        <v>1</v>
      </c>
      <c r="HT71" s="74">
        <v>1</v>
      </c>
      <c r="HU71" s="74">
        <v>1</v>
      </c>
      <c r="HV71" s="74">
        <v>1</v>
      </c>
      <c r="HW71" s="74">
        <v>1</v>
      </c>
      <c r="HX71" s="75">
        <v>1</v>
      </c>
    </row>
    <row r="72" spans="2:232" x14ac:dyDescent="0.2">
      <c r="B72" s="80" t="s">
        <v>118</v>
      </c>
      <c r="C72" s="80" t="s">
        <v>132</v>
      </c>
      <c r="D72" s="81">
        <v>5</v>
      </c>
      <c r="E72" s="80" t="s">
        <v>127</v>
      </c>
      <c r="F72" s="80" t="s">
        <v>123</v>
      </c>
      <c r="G72" s="78">
        <v>1</v>
      </c>
      <c r="H72" s="74">
        <v>1</v>
      </c>
      <c r="I72" s="74">
        <v>1</v>
      </c>
      <c r="J72" s="74">
        <v>1</v>
      </c>
      <c r="K72" s="74">
        <v>1</v>
      </c>
      <c r="L72" s="74">
        <v>1</v>
      </c>
      <c r="M72" s="74">
        <v>1</v>
      </c>
      <c r="N72" s="74">
        <v>1</v>
      </c>
      <c r="O72" s="74">
        <v>1</v>
      </c>
      <c r="P72" s="74">
        <v>1</v>
      </c>
      <c r="Q72" s="74">
        <v>1</v>
      </c>
      <c r="R72" s="74">
        <v>1</v>
      </c>
      <c r="S72" s="74">
        <v>1</v>
      </c>
      <c r="T72" s="74">
        <v>1</v>
      </c>
      <c r="U72" s="74">
        <v>1</v>
      </c>
      <c r="V72" s="74">
        <v>1</v>
      </c>
      <c r="W72" s="74">
        <v>1</v>
      </c>
      <c r="X72" s="74">
        <v>1</v>
      </c>
      <c r="Y72" s="74">
        <v>1</v>
      </c>
      <c r="Z72" s="74">
        <v>1</v>
      </c>
      <c r="AA72" s="74">
        <v>1</v>
      </c>
      <c r="AB72" s="74">
        <v>1</v>
      </c>
      <c r="AC72" s="74">
        <v>1</v>
      </c>
      <c r="AD72" s="74">
        <v>1</v>
      </c>
      <c r="AE72" s="78">
        <v>1</v>
      </c>
      <c r="AF72" s="74">
        <v>1</v>
      </c>
      <c r="AG72" s="74">
        <v>1</v>
      </c>
      <c r="AH72" s="74">
        <v>1</v>
      </c>
      <c r="AI72" s="74">
        <v>1</v>
      </c>
      <c r="AJ72" s="74">
        <v>1</v>
      </c>
      <c r="AK72" s="74">
        <v>1</v>
      </c>
      <c r="AL72" s="74">
        <v>1</v>
      </c>
      <c r="AM72" s="74">
        <v>1</v>
      </c>
      <c r="AN72" s="74">
        <v>1</v>
      </c>
      <c r="AO72" s="74">
        <v>1</v>
      </c>
      <c r="AP72" s="74">
        <v>1</v>
      </c>
      <c r="AQ72" s="74">
        <v>1</v>
      </c>
      <c r="AR72" s="74">
        <v>1</v>
      </c>
      <c r="AS72" s="74">
        <v>1</v>
      </c>
      <c r="AT72" s="74">
        <v>1</v>
      </c>
      <c r="AU72" s="74">
        <v>1</v>
      </c>
      <c r="AV72" s="74">
        <v>1</v>
      </c>
      <c r="AW72" s="74">
        <v>1</v>
      </c>
      <c r="AX72" s="74">
        <v>1</v>
      </c>
      <c r="AY72" s="74">
        <v>1</v>
      </c>
      <c r="AZ72" s="74">
        <v>1</v>
      </c>
      <c r="BA72" s="74">
        <v>1</v>
      </c>
      <c r="BB72" s="74">
        <v>1</v>
      </c>
      <c r="BC72" s="78">
        <v>1</v>
      </c>
      <c r="BD72" s="74">
        <v>1</v>
      </c>
      <c r="BE72" s="74">
        <v>1</v>
      </c>
      <c r="BF72" s="74">
        <v>1</v>
      </c>
      <c r="BG72" s="74">
        <v>1</v>
      </c>
      <c r="BH72" s="74">
        <v>1</v>
      </c>
      <c r="BI72" s="74">
        <v>1</v>
      </c>
      <c r="BJ72" s="74">
        <v>1</v>
      </c>
      <c r="BK72" s="74">
        <v>1</v>
      </c>
      <c r="BL72" s="74">
        <v>1</v>
      </c>
      <c r="BM72" s="74">
        <v>1</v>
      </c>
      <c r="BN72" s="74">
        <v>1</v>
      </c>
      <c r="BO72" s="74">
        <v>1</v>
      </c>
      <c r="BP72" s="74">
        <v>1</v>
      </c>
      <c r="BQ72" s="74">
        <v>1</v>
      </c>
      <c r="BR72" s="74">
        <v>1</v>
      </c>
      <c r="BS72" s="74">
        <v>1</v>
      </c>
      <c r="BT72" s="74">
        <v>1</v>
      </c>
      <c r="BU72" s="74">
        <v>1</v>
      </c>
      <c r="BV72" s="74">
        <v>1</v>
      </c>
      <c r="BW72" s="74">
        <v>1</v>
      </c>
      <c r="BX72" s="74">
        <v>1</v>
      </c>
      <c r="BY72" s="74">
        <v>1</v>
      </c>
      <c r="BZ72" s="74">
        <v>1</v>
      </c>
      <c r="CA72" s="78">
        <v>1</v>
      </c>
      <c r="CB72" s="74">
        <v>1</v>
      </c>
      <c r="CC72" s="74">
        <v>1</v>
      </c>
      <c r="CD72" s="74">
        <v>1</v>
      </c>
      <c r="CE72" s="74">
        <v>1</v>
      </c>
      <c r="CF72" s="74">
        <v>1</v>
      </c>
      <c r="CG72" s="74">
        <v>1</v>
      </c>
      <c r="CH72" s="74">
        <v>1</v>
      </c>
      <c r="CI72" s="74">
        <v>1</v>
      </c>
      <c r="CJ72" s="74">
        <v>1</v>
      </c>
      <c r="CK72" s="74">
        <v>1</v>
      </c>
      <c r="CL72" s="74">
        <v>1</v>
      </c>
      <c r="CM72" s="74">
        <v>1</v>
      </c>
      <c r="CN72" s="74">
        <v>1</v>
      </c>
      <c r="CO72" s="74">
        <v>1</v>
      </c>
      <c r="CP72" s="74">
        <v>1</v>
      </c>
      <c r="CQ72" s="74">
        <v>1</v>
      </c>
      <c r="CR72" s="74">
        <v>1</v>
      </c>
      <c r="CS72" s="74">
        <v>1</v>
      </c>
      <c r="CT72" s="74">
        <v>1</v>
      </c>
      <c r="CU72" s="74">
        <v>1</v>
      </c>
      <c r="CV72" s="74">
        <v>1</v>
      </c>
      <c r="CW72" s="74">
        <v>1</v>
      </c>
      <c r="CX72" s="74">
        <v>1</v>
      </c>
      <c r="CY72" s="78">
        <v>1</v>
      </c>
      <c r="CZ72" s="74">
        <v>1</v>
      </c>
      <c r="DA72" s="74">
        <v>1</v>
      </c>
      <c r="DB72" s="74">
        <v>1</v>
      </c>
      <c r="DC72" s="74">
        <v>1</v>
      </c>
      <c r="DD72" s="74">
        <v>1</v>
      </c>
      <c r="DE72" s="74">
        <v>1</v>
      </c>
      <c r="DF72" s="74">
        <v>1</v>
      </c>
      <c r="DG72" s="74">
        <v>1</v>
      </c>
      <c r="DH72" s="74">
        <v>1</v>
      </c>
      <c r="DI72" s="74">
        <v>1</v>
      </c>
      <c r="DJ72" s="74">
        <v>1</v>
      </c>
      <c r="DK72" s="74">
        <v>1</v>
      </c>
      <c r="DL72" s="74">
        <v>1</v>
      </c>
      <c r="DM72" s="74">
        <v>1</v>
      </c>
      <c r="DN72" s="74">
        <v>1</v>
      </c>
      <c r="DO72" s="74">
        <v>1</v>
      </c>
      <c r="DP72" s="74">
        <v>1</v>
      </c>
      <c r="DQ72" s="74">
        <v>1</v>
      </c>
      <c r="DR72" s="74">
        <v>1</v>
      </c>
      <c r="DS72" s="74">
        <v>1</v>
      </c>
      <c r="DT72" s="74">
        <v>1</v>
      </c>
      <c r="DU72" s="74">
        <v>1</v>
      </c>
      <c r="DV72" s="74">
        <v>1</v>
      </c>
      <c r="DW72" s="78">
        <v>1</v>
      </c>
      <c r="DX72" s="74">
        <v>1</v>
      </c>
      <c r="DY72" s="74">
        <v>1</v>
      </c>
      <c r="DZ72" s="74">
        <v>1</v>
      </c>
      <c r="EA72" s="74">
        <v>1</v>
      </c>
      <c r="EB72" s="74">
        <v>1</v>
      </c>
      <c r="EC72" s="74">
        <v>1</v>
      </c>
      <c r="ED72" s="74">
        <v>1</v>
      </c>
      <c r="EE72" s="74">
        <v>1</v>
      </c>
      <c r="EF72" s="74">
        <v>1</v>
      </c>
      <c r="EG72" s="74">
        <v>1</v>
      </c>
      <c r="EH72" s="74">
        <v>1</v>
      </c>
      <c r="EI72" s="74">
        <v>1</v>
      </c>
      <c r="EJ72" s="74">
        <v>1</v>
      </c>
      <c r="EK72" s="74">
        <v>1</v>
      </c>
      <c r="EL72" s="74">
        <v>1</v>
      </c>
      <c r="EM72" s="74">
        <v>1</v>
      </c>
      <c r="EN72" s="74">
        <v>1</v>
      </c>
      <c r="EO72" s="74">
        <v>1</v>
      </c>
      <c r="EP72" s="74">
        <v>1</v>
      </c>
      <c r="EQ72" s="74">
        <v>1</v>
      </c>
      <c r="ER72" s="74">
        <v>1</v>
      </c>
      <c r="ES72" s="74">
        <v>1</v>
      </c>
      <c r="ET72" s="74">
        <v>1</v>
      </c>
      <c r="EU72" s="78">
        <v>1</v>
      </c>
      <c r="EV72" s="74">
        <v>1</v>
      </c>
      <c r="EW72" s="74">
        <v>1</v>
      </c>
      <c r="EX72" s="74">
        <v>1</v>
      </c>
      <c r="EY72" s="74">
        <v>1</v>
      </c>
      <c r="EZ72" s="74">
        <v>1</v>
      </c>
      <c r="FA72" s="74">
        <v>1</v>
      </c>
      <c r="FB72" s="74">
        <v>1</v>
      </c>
      <c r="FC72" s="74">
        <v>1</v>
      </c>
      <c r="FD72" s="74">
        <v>1</v>
      </c>
      <c r="FE72" s="74">
        <v>1</v>
      </c>
      <c r="FF72" s="74">
        <v>1</v>
      </c>
      <c r="FG72" s="74">
        <v>1</v>
      </c>
      <c r="FH72" s="74">
        <v>1</v>
      </c>
      <c r="FI72" s="74">
        <v>1</v>
      </c>
      <c r="FJ72" s="74">
        <v>1</v>
      </c>
      <c r="FK72" s="74">
        <v>1</v>
      </c>
      <c r="FL72" s="74">
        <v>1</v>
      </c>
      <c r="FM72" s="74">
        <v>1</v>
      </c>
      <c r="FN72" s="74">
        <v>1</v>
      </c>
      <c r="FO72" s="74">
        <v>1</v>
      </c>
      <c r="FP72" s="74">
        <v>1</v>
      </c>
      <c r="FQ72" s="74">
        <v>1</v>
      </c>
      <c r="FR72" s="74">
        <v>1</v>
      </c>
      <c r="FS72" s="78">
        <v>1</v>
      </c>
      <c r="FT72" s="74">
        <v>1</v>
      </c>
      <c r="FU72" s="74">
        <v>1</v>
      </c>
      <c r="FV72" s="74">
        <v>1</v>
      </c>
      <c r="FW72" s="74">
        <v>1</v>
      </c>
      <c r="FX72" s="74">
        <v>1</v>
      </c>
      <c r="FY72" s="74">
        <v>1</v>
      </c>
      <c r="FZ72" s="74">
        <v>1</v>
      </c>
      <c r="GA72" s="74">
        <v>1</v>
      </c>
      <c r="GB72" s="74">
        <v>1</v>
      </c>
      <c r="GC72" s="74">
        <v>1</v>
      </c>
      <c r="GD72" s="74">
        <v>1</v>
      </c>
      <c r="GE72" s="74">
        <v>1</v>
      </c>
      <c r="GF72" s="74">
        <v>1</v>
      </c>
      <c r="GG72" s="74">
        <v>1</v>
      </c>
      <c r="GH72" s="74">
        <v>1</v>
      </c>
      <c r="GI72" s="74">
        <v>1</v>
      </c>
      <c r="GJ72" s="74">
        <v>1</v>
      </c>
      <c r="GK72" s="74">
        <v>1</v>
      </c>
      <c r="GL72" s="74">
        <v>1</v>
      </c>
      <c r="GM72" s="74">
        <v>1</v>
      </c>
      <c r="GN72" s="74">
        <v>1</v>
      </c>
      <c r="GO72" s="74">
        <v>1</v>
      </c>
      <c r="GP72" s="74">
        <v>1</v>
      </c>
      <c r="GQ72" s="78">
        <v>1</v>
      </c>
      <c r="GR72" s="74">
        <v>1</v>
      </c>
      <c r="GS72" s="74">
        <v>1</v>
      </c>
      <c r="GT72" s="74">
        <v>1</v>
      </c>
      <c r="GU72" s="74">
        <v>1</v>
      </c>
      <c r="GV72" s="74">
        <v>1</v>
      </c>
      <c r="GW72" s="74">
        <v>1</v>
      </c>
      <c r="GX72" s="74">
        <v>1</v>
      </c>
      <c r="GY72" s="74">
        <v>1</v>
      </c>
      <c r="GZ72" s="74">
        <v>1</v>
      </c>
      <c r="HA72" s="74">
        <v>1</v>
      </c>
      <c r="HB72" s="74">
        <v>1</v>
      </c>
      <c r="HC72" s="74">
        <v>1</v>
      </c>
      <c r="HD72" s="74">
        <v>1</v>
      </c>
      <c r="HE72" s="74">
        <v>1</v>
      </c>
      <c r="HF72" s="74">
        <v>1</v>
      </c>
      <c r="HG72" s="74">
        <v>1</v>
      </c>
      <c r="HH72" s="74">
        <v>1</v>
      </c>
      <c r="HI72" s="74">
        <v>1</v>
      </c>
      <c r="HJ72" s="74">
        <v>1</v>
      </c>
      <c r="HK72" s="74">
        <v>1</v>
      </c>
      <c r="HL72" s="74">
        <v>1</v>
      </c>
      <c r="HM72" s="74">
        <v>1</v>
      </c>
      <c r="HN72" s="74">
        <v>1</v>
      </c>
      <c r="HO72" s="74">
        <v>1</v>
      </c>
      <c r="HP72" s="74">
        <v>1</v>
      </c>
      <c r="HQ72" s="74">
        <v>1</v>
      </c>
      <c r="HR72" s="74">
        <v>1</v>
      </c>
      <c r="HS72" s="74">
        <v>1</v>
      </c>
      <c r="HT72" s="74">
        <v>1</v>
      </c>
      <c r="HU72" s="74">
        <v>1</v>
      </c>
      <c r="HV72" s="74">
        <v>1</v>
      </c>
      <c r="HW72" s="74">
        <v>1</v>
      </c>
      <c r="HX72" s="75">
        <v>1</v>
      </c>
    </row>
    <row r="73" spans="2:232" x14ac:dyDescent="0.2">
      <c r="B73" s="80" t="s">
        <v>119</v>
      </c>
      <c r="C73" s="80" t="s">
        <v>132</v>
      </c>
      <c r="D73" s="81">
        <v>5</v>
      </c>
      <c r="E73" s="80" t="s">
        <v>127</v>
      </c>
      <c r="F73" s="80" t="s">
        <v>123</v>
      </c>
      <c r="G73" s="78">
        <v>1</v>
      </c>
      <c r="H73" s="74">
        <v>1</v>
      </c>
      <c r="I73" s="74">
        <v>1</v>
      </c>
      <c r="J73" s="74">
        <v>1</v>
      </c>
      <c r="K73" s="74">
        <v>1</v>
      </c>
      <c r="L73" s="74">
        <v>1</v>
      </c>
      <c r="M73" s="74">
        <v>1</v>
      </c>
      <c r="N73" s="74">
        <v>1</v>
      </c>
      <c r="O73" s="74">
        <v>1</v>
      </c>
      <c r="P73" s="74">
        <v>1</v>
      </c>
      <c r="Q73" s="74">
        <v>1</v>
      </c>
      <c r="R73" s="74">
        <v>1</v>
      </c>
      <c r="S73" s="74">
        <v>1</v>
      </c>
      <c r="T73" s="74">
        <v>1</v>
      </c>
      <c r="U73" s="74">
        <v>1</v>
      </c>
      <c r="V73" s="74">
        <v>1</v>
      </c>
      <c r="W73" s="74">
        <v>1</v>
      </c>
      <c r="X73" s="74">
        <v>1</v>
      </c>
      <c r="Y73" s="74">
        <v>1</v>
      </c>
      <c r="Z73" s="74">
        <v>1</v>
      </c>
      <c r="AA73" s="74">
        <v>1</v>
      </c>
      <c r="AB73" s="74">
        <v>1</v>
      </c>
      <c r="AC73" s="74">
        <v>1</v>
      </c>
      <c r="AD73" s="74">
        <v>1</v>
      </c>
      <c r="AE73" s="78">
        <v>1</v>
      </c>
      <c r="AF73" s="74">
        <v>1</v>
      </c>
      <c r="AG73" s="74">
        <v>1</v>
      </c>
      <c r="AH73" s="74">
        <v>1</v>
      </c>
      <c r="AI73" s="74">
        <v>1</v>
      </c>
      <c r="AJ73" s="74">
        <v>1</v>
      </c>
      <c r="AK73" s="74">
        <v>1</v>
      </c>
      <c r="AL73" s="74">
        <v>1</v>
      </c>
      <c r="AM73" s="74">
        <v>1</v>
      </c>
      <c r="AN73" s="74">
        <v>1</v>
      </c>
      <c r="AO73" s="74">
        <v>1</v>
      </c>
      <c r="AP73" s="74">
        <v>1</v>
      </c>
      <c r="AQ73" s="74">
        <v>1</v>
      </c>
      <c r="AR73" s="74">
        <v>1</v>
      </c>
      <c r="AS73" s="74">
        <v>1</v>
      </c>
      <c r="AT73" s="74">
        <v>1</v>
      </c>
      <c r="AU73" s="74">
        <v>1</v>
      </c>
      <c r="AV73" s="74">
        <v>1</v>
      </c>
      <c r="AW73" s="74">
        <v>1</v>
      </c>
      <c r="AX73" s="74">
        <v>1</v>
      </c>
      <c r="AY73" s="74">
        <v>1</v>
      </c>
      <c r="AZ73" s="74">
        <v>1</v>
      </c>
      <c r="BA73" s="74">
        <v>1</v>
      </c>
      <c r="BB73" s="74">
        <v>1</v>
      </c>
      <c r="BC73" s="78">
        <v>1</v>
      </c>
      <c r="BD73" s="74">
        <v>1</v>
      </c>
      <c r="BE73" s="74">
        <v>1</v>
      </c>
      <c r="BF73" s="74">
        <v>1</v>
      </c>
      <c r="BG73" s="74">
        <v>1</v>
      </c>
      <c r="BH73" s="74">
        <v>1</v>
      </c>
      <c r="BI73" s="74">
        <v>1</v>
      </c>
      <c r="BJ73" s="74">
        <v>1</v>
      </c>
      <c r="BK73" s="74">
        <v>1</v>
      </c>
      <c r="BL73" s="74">
        <v>1</v>
      </c>
      <c r="BM73" s="74">
        <v>1</v>
      </c>
      <c r="BN73" s="74">
        <v>1</v>
      </c>
      <c r="BO73" s="74">
        <v>1</v>
      </c>
      <c r="BP73" s="74">
        <v>1</v>
      </c>
      <c r="BQ73" s="74">
        <v>1</v>
      </c>
      <c r="BR73" s="74">
        <v>1</v>
      </c>
      <c r="BS73" s="74">
        <v>1</v>
      </c>
      <c r="BT73" s="74">
        <v>1</v>
      </c>
      <c r="BU73" s="74">
        <v>1</v>
      </c>
      <c r="BV73" s="74">
        <v>1</v>
      </c>
      <c r="BW73" s="74">
        <v>1</v>
      </c>
      <c r="BX73" s="74">
        <v>1</v>
      </c>
      <c r="BY73" s="74">
        <v>1</v>
      </c>
      <c r="BZ73" s="74">
        <v>1</v>
      </c>
      <c r="CA73" s="78">
        <v>1</v>
      </c>
      <c r="CB73" s="74">
        <v>1</v>
      </c>
      <c r="CC73" s="74">
        <v>1</v>
      </c>
      <c r="CD73" s="74">
        <v>1</v>
      </c>
      <c r="CE73" s="74">
        <v>1</v>
      </c>
      <c r="CF73" s="74">
        <v>1</v>
      </c>
      <c r="CG73" s="74">
        <v>1</v>
      </c>
      <c r="CH73" s="74">
        <v>1</v>
      </c>
      <c r="CI73" s="74">
        <v>1</v>
      </c>
      <c r="CJ73" s="74">
        <v>1</v>
      </c>
      <c r="CK73" s="74">
        <v>1</v>
      </c>
      <c r="CL73" s="74">
        <v>1</v>
      </c>
      <c r="CM73" s="74">
        <v>1</v>
      </c>
      <c r="CN73" s="74">
        <v>1</v>
      </c>
      <c r="CO73" s="74">
        <v>1</v>
      </c>
      <c r="CP73" s="74">
        <v>1</v>
      </c>
      <c r="CQ73" s="74">
        <v>1</v>
      </c>
      <c r="CR73" s="74">
        <v>1</v>
      </c>
      <c r="CS73" s="74">
        <v>1</v>
      </c>
      <c r="CT73" s="74">
        <v>1</v>
      </c>
      <c r="CU73" s="74">
        <v>1</v>
      </c>
      <c r="CV73" s="74">
        <v>1</v>
      </c>
      <c r="CW73" s="74">
        <v>1</v>
      </c>
      <c r="CX73" s="74">
        <v>1</v>
      </c>
      <c r="CY73" s="78">
        <v>1</v>
      </c>
      <c r="CZ73" s="74">
        <v>1</v>
      </c>
      <c r="DA73" s="74">
        <v>1</v>
      </c>
      <c r="DB73" s="74">
        <v>1</v>
      </c>
      <c r="DC73" s="74">
        <v>1</v>
      </c>
      <c r="DD73" s="74">
        <v>1</v>
      </c>
      <c r="DE73" s="74">
        <v>1</v>
      </c>
      <c r="DF73" s="74">
        <v>1</v>
      </c>
      <c r="DG73" s="74">
        <v>1</v>
      </c>
      <c r="DH73" s="74">
        <v>1</v>
      </c>
      <c r="DI73" s="74">
        <v>1</v>
      </c>
      <c r="DJ73" s="74">
        <v>1</v>
      </c>
      <c r="DK73" s="74">
        <v>1</v>
      </c>
      <c r="DL73" s="74">
        <v>1</v>
      </c>
      <c r="DM73" s="74">
        <v>1</v>
      </c>
      <c r="DN73" s="74">
        <v>1</v>
      </c>
      <c r="DO73" s="74">
        <v>1</v>
      </c>
      <c r="DP73" s="74">
        <v>1</v>
      </c>
      <c r="DQ73" s="74">
        <v>1</v>
      </c>
      <c r="DR73" s="74">
        <v>1</v>
      </c>
      <c r="DS73" s="74">
        <v>1</v>
      </c>
      <c r="DT73" s="74">
        <v>1</v>
      </c>
      <c r="DU73" s="74">
        <v>1</v>
      </c>
      <c r="DV73" s="74">
        <v>1</v>
      </c>
      <c r="DW73" s="78">
        <v>1</v>
      </c>
      <c r="DX73" s="74">
        <v>1</v>
      </c>
      <c r="DY73" s="74">
        <v>1</v>
      </c>
      <c r="DZ73" s="74">
        <v>1</v>
      </c>
      <c r="EA73" s="74">
        <v>1</v>
      </c>
      <c r="EB73" s="74">
        <v>1</v>
      </c>
      <c r="EC73" s="74">
        <v>1</v>
      </c>
      <c r="ED73" s="74">
        <v>1</v>
      </c>
      <c r="EE73" s="74">
        <v>1</v>
      </c>
      <c r="EF73" s="74">
        <v>1</v>
      </c>
      <c r="EG73" s="74">
        <v>1</v>
      </c>
      <c r="EH73" s="74">
        <v>1</v>
      </c>
      <c r="EI73" s="74">
        <v>1</v>
      </c>
      <c r="EJ73" s="74">
        <v>1</v>
      </c>
      <c r="EK73" s="74">
        <v>1</v>
      </c>
      <c r="EL73" s="74">
        <v>1</v>
      </c>
      <c r="EM73" s="74">
        <v>1</v>
      </c>
      <c r="EN73" s="74">
        <v>1</v>
      </c>
      <c r="EO73" s="74">
        <v>1</v>
      </c>
      <c r="EP73" s="74">
        <v>1</v>
      </c>
      <c r="EQ73" s="74">
        <v>1</v>
      </c>
      <c r="ER73" s="74">
        <v>1</v>
      </c>
      <c r="ES73" s="74">
        <v>1</v>
      </c>
      <c r="ET73" s="74">
        <v>1</v>
      </c>
      <c r="EU73" s="78">
        <v>1</v>
      </c>
      <c r="EV73" s="74">
        <v>1</v>
      </c>
      <c r="EW73" s="74">
        <v>1</v>
      </c>
      <c r="EX73" s="74">
        <v>1</v>
      </c>
      <c r="EY73" s="74">
        <v>1</v>
      </c>
      <c r="EZ73" s="74">
        <v>1</v>
      </c>
      <c r="FA73" s="74">
        <v>1</v>
      </c>
      <c r="FB73" s="74">
        <v>1</v>
      </c>
      <c r="FC73" s="74">
        <v>1</v>
      </c>
      <c r="FD73" s="74">
        <v>1</v>
      </c>
      <c r="FE73" s="74">
        <v>1</v>
      </c>
      <c r="FF73" s="74">
        <v>1</v>
      </c>
      <c r="FG73" s="74">
        <v>1</v>
      </c>
      <c r="FH73" s="74">
        <v>1</v>
      </c>
      <c r="FI73" s="74">
        <v>1</v>
      </c>
      <c r="FJ73" s="74">
        <v>1</v>
      </c>
      <c r="FK73" s="74">
        <v>1</v>
      </c>
      <c r="FL73" s="74">
        <v>1</v>
      </c>
      <c r="FM73" s="74">
        <v>1</v>
      </c>
      <c r="FN73" s="74">
        <v>1</v>
      </c>
      <c r="FO73" s="74">
        <v>1</v>
      </c>
      <c r="FP73" s="74">
        <v>1</v>
      </c>
      <c r="FQ73" s="74">
        <v>1</v>
      </c>
      <c r="FR73" s="74">
        <v>1</v>
      </c>
      <c r="FS73" s="78">
        <v>1</v>
      </c>
      <c r="FT73" s="74">
        <v>1</v>
      </c>
      <c r="FU73" s="74">
        <v>1</v>
      </c>
      <c r="FV73" s="74">
        <v>1</v>
      </c>
      <c r="FW73" s="74">
        <v>1</v>
      </c>
      <c r="FX73" s="74">
        <v>1</v>
      </c>
      <c r="FY73" s="74">
        <v>1</v>
      </c>
      <c r="FZ73" s="74">
        <v>1</v>
      </c>
      <c r="GA73" s="74">
        <v>1</v>
      </c>
      <c r="GB73" s="74">
        <v>1</v>
      </c>
      <c r="GC73" s="74">
        <v>1</v>
      </c>
      <c r="GD73" s="74">
        <v>1</v>
      </c>
      <c r="GE73" s="74">
        <v>1</v>
      </c>
      <c r="GF73" s="74">
        <v>1</v>
      </c>
      <c r="GG73" s="74">
        <v>1</v>
      </c>
      <c r="GH73" s="74">
        <v>1</v>
      </c>
      <c r="GI73" s="74">
        <v>1</v>
      </c>
      <c r="GJ73" s="74">
        <v>1</v>
      </c>
      <c r="GK73" s="74">
        <v>1</v>
      </c>
      <c r="GL73" s="74">
        <v>1</v>
      </c>
      <c r="GM73" s="74">
        <v>1</v>
      </c>
      <c r="GN73" s="74">
        <v>1</v>
      </c>
      <c r="GO73" s="74">
        <v>1</v>
      </c>
      <c r="GP73" s="74">
        <v>1</v>
      </c>
      <c r="GQ73" s="78">
        <v>1</v>
      </c>
      <c r="GR73" s="74">
        <v>1</v>
      </c>
      <c r="GS73" s="74">
        <v>1</v>
      </c>
      <c r="GT73" s="74">
        <v>1</v>
      </c>
      <c r="GU73" s="74">
        <v>1</v>
      </c>
      <c r="GV73" s="74">
        <v>1</v>
      </c>
      <c r="GW73" s="74">
        <v>1</v>
      </c>
      <c r="GX73" s="74">
        <v>1</v>
      </c>
      <c r="GY73" s="74">
        <v>1</v>
      </c>
      <c r="GZ73" s="74">
        <v>1</v>
      </c>
      <c r="HA73" s="74">
        <v>1</v>
      </c>
      <c r="HB73" s="74">
        <v>1</v>
      </c>
      <c r="HC73" s="74">
        <v>1</v>
      </c>
      <c r="HD73" s="74">
        <v>1</v>
      </c>
      <c r="HE73" s="74">
        <v>1</v>
      </c>
      <c r="HF73" s="74">
        <v>1</v>
      </c>
      <c r="HG73" s="74">
        <v>1</v>
      </c>
      <c r="HH73" s="74">
        <v>1</v>
      </c>
      <c r="HI73" s="74">
        <v>1</v>
      </c>
      <c r="HJ73" s="74">
        <v>1</v>
      </c>
      <c r="HK73" s="74">
        <v>1</v>
      </c>
      <c r="HL73" s="74">
        <v>1</v>
      </c>
      <c r="HM73" s="74">
        <v>1</v>
      </c>
      <c r="HN73" s="74">
        <v>1</v>
      </c>
      <c r="HO73" s="74">
        <v>1</v>
      </c>
      <c r="HP73" s="74">
        <v>1</v>
      </c>
      <c r="HQ73" s="74">
        <v>1</v>
      </c>
      <c r="HR73" s="74">
        <v>1</v>
      </c>
      <c r="HS73" s="74">
        <v>1</v>
      </c>
      <c r="HT73" s="74">
        <v>1</v>
      </c>
      <c r="HU73" s="74">
        <v>1</v>
      </c>
      <c r="HV73" s="74">
        <v>1</v>
      </c>
      <c r="HW73" s="74">
        <v>1</v>
      </c>
      <c r="HX73" s="75">
        <v>1</v>
      </c>
    </row>
    <row r="74" spans="2:232" x14ac:dyDescent="0.2">
      <c r="B74" s="80" t="s">
        <v>120</v>
      </c>
      <c r="C74" s="80" t="s">
        <v>132</v>
      </c>
      <c r="D74" s="81">
        <v>5</v>
      </c>
      <c r="E74" s="80" t="s">
        <v>127</v>
      </c>
      <c r="F74" s="80" t="s">
        <v>123</v>
      </c>
      <c r="G74" s="78">
        <v>1</v>
      </c>
      <c r="H74" s="74">
        <v>1</v>
      </c>
      <c r="I74" s="74">
        <v>1</v>
      </c>
      <c r="J74" s="74">
        <v>1</v>
      </c>
      <c r="K74" s="74">
        <v>1</v>
      </c>
      <c r="L74" s="74">
        <v>1</v>
      </c>
      <c r="M74" s="74">
        <v>1</v>
      </c>
      <c r="N74" s="74">
        <v>1</v>
      </c>
      <c r="O74" s="74">
        <v>1</v>
      </c>
      <c r="P74" s="74">
        <v>1</v>
      </c>
      <c r="Q74" s="74">
        <v>1</v>
      </c>
      <c r="R74" s="74">
        <v>1</v>
      </c>
      <c r="S74" s="74">
        <v>1</v>
      </c>
      <c r="T74" s="74">
        <v>1</v>
      </c>
      <c r="U74" s="74">
        <v>1</v>
      </c>
      <c r="V74" s="74">
        <v>1</v>
      </c>
      <c r="W74" s="74">
        <v>1</v>
      </c>
      <c r="X74" s="74">
        <v>1</v>
      </c>
      <c r="Y74" s="74">
        <v>1</v>
      </c>
      <c r="Z74" s="74">
        <v>1</v>
      </c>
      <c r="AA74" s="74">
        <v>1</v>
      </c>
      <c r="AB74" s="74">
        <v>1</v>
      </c>
      <c r="AC74" s="74">
        <v>1</v>
      </c>
      <c r="AD74" s="74">
        <v>1</v>
      </c>
      <c r="AE74" s="78">
        <v>1</v>
      </c>
      <c r="AF74" s="74">
        <v>1</v>
      </c>
      <c r="AG74" s="74">
        <v>1</v>
      </c>
      <c r="AH74" s="74">
        <v>1</v>
      </c>
      <c r="AI74" s="74">
        <v>1</v>
      </c>
      <c r="AJ74" s="74">
        <v>1</v>
      </c>
      <c r="AK74" s="74">
        <v>1</v>
      </c>
      <c r="AL74" s="74">
        <v>1</v>
      </c>
      <c r="AM74" s="74">
        <v>1</v>
      </c>
      <c r="AN74" s="74">
        <v>1</v>
      </c>
      <c r="AO74" s="74">
        <v>1</v>
      </c>
      <c r="AP74" s="74">
        <v>1</v>
      </c>
      <c r="AQ74" s="74">
        <v>1</v>
      </c>
      <c r="AR74" s="74">
        <v>1</v>
      </c>
      <c r="AS74" s="74">
        <v>1</v>
      </c>
      <c r="AT74" s="74">
        <v>1</v>
      </c>
      <c r="AU74" s="74">
        <v>1</v>
      </c>
      <c r="AV74" s="74">
        <v>1</v>
      </c>
      <c r="AW74" s="74">
        <v>1</v>
      </c>
      <c r="AX74" s="74">
        <v>1</v>
      </c>
      <c r="AY74" s="74">
        <v>1</v>
      </c>
      <c r="AZ74" s="74">
        <v>1</v>
      </c>
      <c r="BA74" s="74">
        <v>1</v>
      </c>
      <c r="BB74" s="74">
        <v>1</v>
      </c>
      <c r="BC74" s="78">
        <v>1</v>
      </c>
      <c r="BD74" s="74">
        <v>1</v>
      </c>
      <c r="BE74" s="74">
        <v>1</v>
      </c>
      <c r="BF74" s="74">
        <v>1</v>
      </c>
      <c r="BG74" s="74">
        <v>1</v>
      </c>
      <c r="BH74" s="74">
        <v>1</v>
      </c>
      <c r="BI74" s="74">
        <v>1</v>
      </c>
      <c r="BJ74" s="74">
        <v>1</v>
      </c>
      <c r="BK74" s="74">
        <v>1</v>
      </c>
      <c r="BL74" s="74">
        <v>1</v>
      </c>
      <c r="BM74" s="74">
        <v>1</v>
      </c>
      <c r="BN74" s="74">
        <v>1</v>
      </c>
      <c r="BO74" s="74">
        <v>1</v>
      </c>
      <c r="BP74" s="74">
        <v>1</v>
      </c>
      <c r="BQ74" s="74">
        <v>1</v>
      </c>
      <c r="BR74" s="74">
        <v>1</v>
      </c>
      <c r="BS74" s="74">
        <v>1</v>
      </c>
      <c r="BT74" s="74">
        <v>1</v>
      </c>
      <c r="BU74" s="74">
        <v>1</v>
      </c>
      <c r="BV74" s="74">
        <v>1</v>
      </c>
      <c r="BW74" s="74">
        <v>1</v>
      </c>
      <c r="BX74" s="74">
        <v>1</v>
      </c>
      <c r="BY74" s="74">
        <v>1</v>
      </c>
      <c r="BZ74" s="74">
        <v>1</v>
      </c>
      <c r="CA74" s="78">
        <v>1</v>
      </c>
      <c r="CB74" s="74">
        <v>1</v>
      </c>
      <c r="CC74" s="74">
        <v>1</v>
      </c>
      <c r="CD74" s="74">
        <v>1</v>
      </c>
      <c r="CE74" s="74">
        <v>1</v>
      </c>
      <c r="CF74" s="74">
        <v>1</v>
      </c>
      <c r="CG74" s="74">
        <v>1</v>
      </c>
      <c r="CH74" s="74">
        <v>1</v>
      </c>
      <c r="CI74" s="74">
        <v>1</v>
      </c>
      <c r="CJ74" s="74">
        <v>1</v>
      </c>
      <c r="CK74" s="74">
        <v>1</v>
      </c>
      <c r="CL74" s="74">
        <v>1</v>
      </c>
      <c r="CM74" s="74">
        <v>1</v>
      </c>
      <c r="CN74" s="74">
        <v>1</v>
      </c>
      <c r="CO74" s="74">
        <v>1</v>
      </c>
      <c r="CP74" s="74">
        <v>1</v>
      </c>
      <c r="CQ74" s="74">
        <v>1</v>
      </c>
      <c r="CR74" s="74">
        <v>1</v>
      </c>
      <c r="CS74" s="74">
        <v>1</v>
      </c>
      <c r="CT74" s="74">
        <v>1</v>
      </c>
      <c r="CU74" s="74">
        <v>1</v>
      </c>
      <c r="CV74" s="74">
        <v>1</v>
      </c>
      <c r="CW74" s="74">
        <v>1</v>
      </c>
      <c r="CX74" s="74">
        <v>1</v>
      </c>
      <c r="CY74" s="78">
        <v>1</v>
      </c>
      <c r="CZ74" s="74">
        <v>1</v>
      </c>
      <c r="DA74" s="74">
        <v>1</v>
      </c>
      <c r="DB74" s="74">
        <v>1</v>
      </c>
      <c r="DC74" s="74">
        <v>1</v>
      </c>
      <c r="DD74" s="74">
        <v>1</v>
      </c>
      <c r="DE74" s="74">
        <v>1</v>
      </c>
      <c r="DF74" s="74">
        <v>1</v>
      </c>
      <c r="DG74" s="74">
        <v>1</v>
      </c>
      <c r="DH74" s="74">
        <v>1</v>
      </c>
      <c r="DI74" s="74">
        <v>1</v>
      </c>
      <c r="DJ74" s="74">
        <v>1</v>
      </c>
      <c r="DK74" s="74">
        <v>1</v>
      </c>
      <c r="DL74" s="74">
        <v>1</v>
      </c>
      <c r="DM74" s="74">
        <v>1</v>
      </c>
      <c r="DN74" s="74">
        <v>1</v>
      </c>
      <c r="DO74" s="74">
        <v>1</v>
      </c>
      <c r="DP74" s="74">
        <v>1</v>
      </c>
      <c r="DQ74" s="74">
        <v>1</v>
      </c>
      <c r="DR74" s="74">
        <v>1</v>
      </c>
      <c r="DS74" s="74">
        <v>1</v>
      </c>
      <c r="DT74" s="74">
        <v>1</v>
      </c>
      <c r="DU74" s="74">
        <v>1</v>
      </c>
      <c r="DV74" s="74">
        <v>1</v>
      </c>
      <c r="DW74" s="78">
        <v>1</v>
      </c>
      <c r="DX74" s="74">
        <v>1</v>
      </c>
      <c r="DY74" s="74">
        <v>1</v>
      </c>
      <c r="DZ74" s="74">
        <v>1</v>
      </c>
      <c r="EA74" s="74">
        <v>1</v>
      </c>
      <c r="EB74" s="74">
        <v>1</v>
      </c>
      <c r="EC74" s="74">
        <v>1</v>
      </c>
      <c r="ED74" s="74">
        <v>1</v>
      </c>
      <c r="EE74" s="74">
        <v>1</v>
      </c>
      <c r="EF74" s="74">
        <v>1</v>
      </c>
      <c r="EG74" s="74">
        <v>1</v>
      </c>
      <c r="EH74" s="74">
        <v>1</v>
      </c>
      <c r="EI74" s="74">
        <v>1</v>
      </c>
      <c r="EJ74" s="74">
        <v>1</v>
      </c>
      <c r="EK74" s="74">
        <v>1</v>
      </c>
      <c r="EL74" s="74">
        <v>1</v>
      </c>
      <c r="EM74" s="74">
        <v>1</v>
      </c>
      <c r="EN74" s="74">
        <v>1</v>
      </c>
      <c r="EO74" s="74">
        <v>1</v>
      </c>
      <c r="EP74" s="74">
        <v>1</v>
      </c>
      <c r="EQ74" s="74">
        <v>1</v>
      </c>
      <c r="ER74" s="74">
        <v>1</v>
      </c>
      <c r="ES74" s="74">
        <v>1</v>
      </c>
      <c r="ET74" s="74">
        <v>1</v>
      </c>
      <c r="EU74" s="78">
        <v>1</v>
      </c>
      <c r="EV74" s="74">
        <v>1</v>
      </c>
      <c r="EW74" s="74">
        <v>1</v>
      </c>
      <c r="EX74" s="74">
        <v>1</v>
      </c>
      <c r="EY74" s="74">
        <v>1</v>
      </c>
      <c r="EZ74" s="74">
        <v>1</v>
      </c>
      <c r="FA74" s="74">
        <v>1</v>
      </c>
      <c r="FB74" s="74">
        <v>1</v>
      </c>
      <c r="FC74" s="74">
        <v>1</v>
      </c>
      <c r="FD74" s="74">
        <v>1</v>
      </c>
      <c r="FE74" s="74">
        <v>1</v>
      </c>
      <c r="FF74" s="74">
        <v>1</v>
      </c>
      <c r="FG74" s="74">
        <v>1</v>
      </c>
      <c r="FH74" s="74">
        <v>1</v>
      </c>
      <c r="FI74" s="74">
        <v>1</v>
      </c>
      <c r="FJ74" s="74">
        <v>1</v>
      </c>
      <c r="FK74" s="74">
        <v>1</v>
      </c>
      <c r="FL74" s="74">
        <v>1</v>
      </c>
      <c r="FM74" s="74">
        <v>1</v>
      </c>
      <c r="FN74" s="74">
        <v>1</v>
      </c>
      <c r="FO74" s="74">
        <v>1</v>
      </c>
      <c r="FP74" s="74">
        <v>1</v>
      </c>
      <c r="FQ74" s="74">
        <v>1</v>
      </c>
      <c r="FR74" s="74">
        <v>1</v>
      </c>
      <c r="FS74" s="78">
        <v>1</v>
      </c>
      <c r="FT74" s="74">
        <v>1</v>
      </c>
      <c r="FU74" s="74">
        <v>1</v>
      </c>
      <c r="FV74" s="74">
        <v>1</v>
      </c>
      <c r="FW74" s="74">
        <v>1</v>
      </c>
      <c r="FX74" s="74">
        <v>1</v>
      </c>
      <c r="FY74" s="74">
        <v>1</v>
      </c>
      <c r="FZ74" s="74">
        <v>1</v>
      </c>
      <c r="GA74" s="74">
        <v>1</v>
      </c>
      <c r="GB74" s="74">
        <v>1</v>
      </c>
      <c r="GC74" s="74">
        <v>1</v>
      </c>
      <c r="GD74" s="74">
        <v>1</v>
      </c>
      <c r="GE74" s="74">
        <v>1</v>
      </c>
      <c r="GF74" s="74">
        <v>1</v>
      </c>
      <c r="GG74" s="74">
        <v>1</v>
      </c>
      <c r="GH74" s="74">
        <v>1</v>
      </c>
      <c r="GI74" s="74">
        <v>1</v>
      </c>
      <c r="GJ74" s="74">
        <v>1</v>
      </c>
      <c r="GK74" s="74">
        <v>1</v>
      </c>
      <c r="GL74" s="74">
        <v>1</v>
      </c>
      <c r="GM74" s="74">
        <v>1</v>
      </c>
      <c r="GN74" s="74">
        <v>1</v>
      </c>
      <c r="GO74" s="74">
        <v>1</v>
      </c>
      <c r="GP74" s="74">
        <v>1</v>
      </c>
      <c r="GQ74" s="78">
        <v>1</v>
      </c>
      <c r="GR74" s="74">
        <v>1</v>
      </c>
      <c r="GS74" s="74">
        <v>1</v>
      </c>
      <c r="GT74" s="74">
        <v>1</v>
      </c>
      <c r="GU74" s="74">
        <v>1</v>
      </c>
      <c r="GV74" s="74">
        <v>1</v>
      </c>
      <c r="GW74" s="74">
        <v>1</v>
      </c>
      <c r="GX74" s="74">
        <v>1</v>
      </c>
      <c r="GY74" s="74">
        <v>1</v>
      </c>
      <c r="GZ74" s="74">
        <v>1</v>
      </c>
      <c r="HA74" s="74">
        <v>1</v>
      </c>
      <c r="HB74" s="74">
        <v>1</v>
      </c>
      <c r="HC74" s="74">
        <v>1</v>
      </c>
      <c r="HD74" s="74">
        <v>1</v>
      </c>
      <c r="HE74" s="74">
        <v>1</v>
      </c>
      <c r="HF74" s="74">
        <v>1</v>
      </c>
      <c r="HG74" s="74">
        <v>1</v>
      </c>
      <c r="HH74" s="74">
        <v>1</v>
      </c>
      <c r="HI74" s="74">
        <v>1</v>
      </c>
      <c r="HJ74" s="74">
        <v>1</v>
      </c>
      <c r="HK74" s="74">
        <v>1</v>
      </c>
      <c r="HL74" s="74">
        <v>1</v>
      </c>
      <c r="HM74" s="74">
        <v>1</v>
      </c>
      <c r="HN74" s="74">
        <v>1</v>
      </c>
      <c r="HO74" s="74">
        <v>1</v>
      </c>
      <c r="HP74" s="74">
        <v>1</v>
      </c>
      <c r="HQ74" s="74">
        <v>1</v>
      </c>
      <c r="HR74" s="74">
        <v>1</v>
      </c>
      <c r="HS74" s="74">
        <v>1</v>
      </c>
      <c r="HT74" s="74">
        <v>1</v>
      </c>
      <c r="HU74" s="74">
        <v>1</v>
      </c>
      <c r="HV74" s="74">
        <v>1</v>
      </c>
      <c r="HW74" s="74">
        <v>1</v>
      </c>
      <c r="HX74" s="75">
        <v>1</v>
      </c>
    </row>
    <row r="75" spans="2:232" x14ac:dyDescent="0.2">
      <c r="B75" s="82" t="s">
        <v>121</v>
      </c>
      <c r="C75" s="80" t="s">
        <v>132</v>
      </c>
      <c r="D75" s="81">
        <v>5</v>
      </c>
      <c r="E75" s="80" t="s">
        <v>127</v>
      </c>
      <c r="F75" s="80" t="s">
        <v>123</v>
      </c>
      <c r="G75" s="78">
        <v>0</v>
      </c>
      <c r="H75" s="74">
        <v>0</v>
      </c>
      <c r="I75" s="74">
        <v>0</v>
      </c>
      <c r="J75" s="74">
        <v>0</v>
      </c>
      <c r="K75" s="74">
        <v>0</v>
      </c>
      <c r="L75" s="74">
        <v>0</v>
      </c>
      <c r="M75" s="74">
        <v>0</v>
      </c>
      <c r="N75" s="74">
        <v>0</v>
      </c>
      <c r="O75" s="74">
        <v>0</v>
      </c>
      <c r="P75" s="74">
        <v>0</v>
      </c>
      <c r="Q75" s="74">
        <v>0</v>
      </c>
      <c r="R75" s="74">
        <v>0</v>
      </c>
      <c r="S75" s="74">
        <v>0</v>
      </c>
      <c r="T75" s="74">
        <v>0</v>
      </c>
      <c r="U75" s="74">
        <v>0</v>
      </c>
      <c r="V75" s="74">
        <v>0</v>
      </c>
      <c r="W75" s="74">
        <v>0</v>
      </c>
      <c r="X75" s="74">
        <v>0</v>
      </c>
      <c r="Y75" s="74">
        <v>0</v>
      </c>
      <c r="Z75" s="74">
        <v>0</v>
      </c>
      <c r="AA75" s="74">
        <v>0</v>
      </c>
      <c r="AB75" s="74">
        <v>0</v>
      </c>
      <c r="AC75" s="74">
        <v>0</v>
      </c>
      <c r="AD75" s="74">
        <v>0</v>
      </c>
      <c r="AE75" s="78">
        <v>0</v>
      </c>
      <c r="AF75" s="74">
        <v>0</v>
      </c>
      <c r="AG75" s="74">
        <v>0</v>
      </c>
      <c r="AH75" s="74">
        <v>0</v>
      </c>
      <c r="AI75" s="74">
        <v>0</v>
      </c>
      <c r="AJ75" s="74">
        <v>0</v>
      </c>
      <c r="AK75" s="74">
        <v>0</v>
      </c>
      <c r="AL75" s="74">
        <v>0</v>
      </c>
      <c r="AM75" s="74">
        <v>0</v>
      </c>
      <c r="AN75" s="74">
        <v>0</v>
      </c>
      <c r="AO75" s="74">
        <v>0</v>
      </c>
      <c r="AP75" s="74">
        <v>0</v>
      </c>
      <c r="AQ75" s="74">
        <v>0</v>
      </c>
      <c r="AR75" s="74">
        <v>0</v>
      </c>
      <c r="AS75" s="74">
        <v>0</v>
      </c>
      <c r="AT75" s="74">
        <v>0</v>
      </c>
      <c r="AU75" s="74">
        <v>0</v>
      </c>
      <c r="AV75" s="74">
        <v>0</v>
      </c>
      <c r="AW75" s="74">
        <v>0</v>
      </c>
      <c r="AX75" s="74">
        <v>0</v>
      </c>
      <c r="AY75" s="74">
        <v>0</v>
      </c>
      <c r="AZ75" s="74">
        <v>0</v>
      </c>
      <c r="BA75" s="76">
        <v>1</v>
      </c>
      <c r="BB75" s="76">
        <v>1</v>
      </c>
      <c r="BC75" s="79">
        <v>1</v>
      </c>
      <c r="BD75" s="76">
        <v>1</v>
      </c>
      <c r="BE75" s="76">
        <v>1</v>
      </c>
      <c r="BF75" s="76">
        <v>1</v>
      </c>
      <c r="BG75" s="76">
        <v>1</v>
      </c>
      <c r="BH75" s="76">
        <v>1</v>
      </c>
      <c r="BI75" s="76">
        <v>1</v>
      </c>
      <c r="BJ75" s="76">
        <v>1</v>
      </c>
      <c r="BK75" s="76">
        <v>1</v>
      </c>
      <c r="BL75" s="76">
        <v>1</v>
      </c>
      <c r="BM75" s="76">
        <v>1</v>
      </c>
      <c r="BN75" s="76">
        <v>1</v>
      </c>
      <c r="BO75" s="76">
        <v>1</v>
      </c>
      <c r="BP75" s="76">
        <v>1</v>
      </c>
      <c r="BQ75" s="76">
        <v>1</v>
      </c>
      <c r="BR75" s="76">
        <v>1</v>
      </c>
      <c r="BS75" s="76">
        <v>1</v>
      </c>
      <c r="BT75" s="76">
        <v>1</v>
      </c>
      <c r="BU75" s="76">
        <v>1</v>
      </c>
      <c r="BV75" s="76">
        <v>1</v>
      </c>
      <c r="BW75" s="76">
        <v>1</v>
      </c>
      <c r="BX75" s="76">
        <v>1</v>
      </c>
      <c r="BY75" s="76">
        <v>1</v>
      </c>
      <c r="BZ75" s="76">
        <v>1</v>
      </c>
      <c r="CA75" s="79">
        <v>1</v>
      </c>
      <c r="CB75" s="76">
        <v>1</v>
      </c>
      <c r="CC75" s="76">
        <v>1</v>
      </c>
      <c r="CD75" s="76">
        <v>1</v>
      </c>
      <c r="CE75" s="76">
        <v>1</v>
      </c>
      <c r="CF75" s="76">
        <v>1</v>
      </c>
      <c r="CG75" s="76">
        <v>1</v>
      </c>
      <c r="CH75" s="76">
        <v>1</v>
      </c>
      <c r="CI75" s="76">
        <v>1</v>
      </c>
      <c r="CJ75" s="76">
        <v>1</v>
      </c>
      <c r="CK75" s="76">
        <v>1</v>
      </c>
      <c r="CL75" s="76">
        <v>1</v>
      </c>
      <c r="CM75" s="76">
        <v>1</v>
      </c>
      <c r="CN75" s="76">
        <v>1</v>
      </c>
      <c r="CO75" s="76">
        <v>1</v>
      </c>
      <c r="CP75" s="76">
        <v>1</v>
      </c>
      <c r="CQ75" s="76">
        <v>1</v>
      </c>
      <c r="CR75" s="76">
        <v>1</v>
      </c>
      <c r="CS75" s="76">
        <v>1</v>
      </c>
      <c r="CT75" s="76">
        <v>1</v>
      </c>
      <c r="CU75" s="76">
        <v>1</v>
      </c>
      <c r="CV75" s="76">
        <v>1</v>
      </c>
      <c r="CW75" s="76">
        <v>1</v>
      </c>
      <c r="CX75" s="76">
        <v>1</v>
      </c>
      <c r="CY75" s="79">
        <v>1</v>
      </c>
      <c r="CZ75" s="76">
        <v>1</v>
      </c>
      <c r="DA75" s="76">
        <v>1</v>
      </c>
      <c r="DB75" s="76">
        <v>1</v>
      </c>
      <c r="DC75" s="76">
        <v>1</v>
      </c>
      <c r="DD75" s="76">
        <v>1</v>
      </c>
      <c r="DE75" s="76">
        <v>1</v>
      </c>
      <c r="DF75" s="76">
        <v>1</v>
      </c>
      <c r="DG75" s="76">
        <v>1</v>
      </c>
      <c r="DH75" s="76">
        <v>1</v>
      </c>
      <c r="DI75" s="76">
        <v>1</v>
      </c>
      <c r="DJ75" s="76">
        <v>1</v>
      </c>
      <c r="DK75" s="76">
        <v>1</v>
      </c>
      <c r="DL75" s="76">
        <v>1</v>
      </c>
      <c r="DM75" s="76">
        <v>1</v>
      </c>
      <c r="DN75" s="76">
        <v>1</v>
      </c>
      <c r="DO75" s="76">
        <v>1</v>
      </c>
      <c r="DP75" s="76">
        <v>1</v>
      </c>
      <c r="DQ75" s="76">
        <v>1</v>
      </c>
      <c r="DR75" s="76">
        <v>1</v>
      </c>
      <c r="DS75" s="76">
        <v>1</v>
      </c>
      <c r="DT75" s="76">
        <v>1</v>
      </c>
      <c r="DU75" s="76">
        <v>1</v>
      </c>
      <c r="DV75" s="76">
        <v>1</v>
      </c>
      <c r="DW75" s="79">
        <v>1</v>
      </c>
      <c r="DX75" s="76">
        <v>1</v>
      </c>
      <c r="DY75" s="76">
        <v>1</v>
      </c>
      <c r="DZ75" s="76">
        <v>1</v>
      </c>
      <c r="EA75" s="76">
        <v>1</v>
      </c>
      <c r="EB75" s="76">
        <v>1</v>
      </c>
      <c r="EC75" s="76">
        <v>1</v>
      </c>
      <c r="ED75" s="76">
        <v>1</v>
      </c>
      <c r="EE75" s="76">
        <v>1</v>
      </c>
      <c r="EF75" s="76">
        <v>1</v>
      </c>
      <c r="EG75" s="76">
        <v>1</v>
      </c>
      <c r="EH75" s="76">
        <v>1</v>
      </c>
      <c r="EI75" s="76">
        <v>1</v>
      </c>
      <c r="EJ75" s="76">
        <v>1</v>
      </c>
      <c r="EK75" s="76">
        <v>1</v>
      </c>
      <c r="EL75" s="76">
        <v>1</v>
      </c>
      <c r="EM75" s="76">
        <v>1</v>
      </c>
      <c r="EN75" s="76">
        <v>1</v>
      </c>
      <c r="EO75" s="76">
        <v>1</v>
      </c>
      <c r="EP75" s="76">
        <v>1</v>
      </c>
      <c r="EQ75" s="76">
        <v>1</v>
      </c>
      <c r="ER75" s="76">
        <v>1</v>
      </c>
      <c r="ES75" s="76">
        <v>1</v>
      </c>
      <c r="ET75" s="76">
        <v>1</v>
      </c>
      <c r="EU75" s="79">
        <v>1</v>
      </c>
      <c r="EV75" s="76">
        <v>1</v>
      </c>
      <c r="EW75" s="76">
        <v>1</v>
      </c>
      <c r="EX75" s="76">
        <v>1</v>
      </c>
      <c r="EY75" s="76">
        <v>1</v>
      </c>
      <c r="EZ75" s="76">
        <v>1</v>
      </c>
      <c r="FA75" s="76">
        <v>1</v>
      </c>
      <c r="FB75" s="76">
        <v>1</v>
      </c>
      <c r="FC75" s="76">
        <v>1</v>
      </c>
      <c r="FD75" s="76">
        <v>1</v>
      </c>
      <c r="FE75" s="76">
        <v>1</v>
      </c>
      <c r="FF75" s="76">
        <v>1</v>
      </c>
      <c r="FG75" s="76">
        <v>1</v>
      </c>
      <c r="FH75" s="76">
        <v>1</v>
      </c>
      <c r="FI75" s="76">
        <v>1</v>
      </c>
      <c r="FJ75" s="76">
        <v>1</v>
      </c>
      <c r="FK75" s="76">
        <v>1</v>
      </c>
      <c r="FL75" s="76">
        <v>1</v>
      </c>
      <c r="FM75" s="76">
        <v>1</v>
      </c>
      <c r="FN75" s="76">
        <v>1</v>
      </c>
      <c r="FO75" s="76">
        <v>1</v>
      </c>
      <c r="FP75" s="76">
        <v>1</v>
      </c>
      <c r="FQ75" s="76">
        <v>1</v>
      </c>
      <c r="FR75" s="76">
        <v>1</v>
      </c>
      <c r="FS75" s="79">
        <v>1</v>
      </c>
      <c r="FT75" s="76">
        <v>1</v>
      </c>
      <c r="FU75" s="76">
        <v>1</v>
      </c>
      <c r="FV75" s="76">
        <v>1</v>
      </c>
      <c r="FW75" s="76">
        <v>1</v>
      </c>
      <c r="FX75" s="76">
        <v>1</v>
      </c>
      <c r="FY75" s="76">
        <v>1</v>
      </c>
      <c r="FZ75" s="76">
        <v>1</v>
      </c>
      <c r="GA75" s="76">
        <v>1</v>
      </c>
      <c r="GB75" s="76">
        <v>1</v>
      </c>
      <c r="GC75" s="76">
        <v>1</v>
      </c>
      <c r="GD75" s="76">
        <v>1</v>
      </c>
      <c r="GE75" s="76">
        <v>1</v>
      </c>
      <c r="GF75" s="76">
        <v>1</v>
      </c>
      <c r="GG75" s="76">
        <v>1</v>
      </c>
      <c r="GH75" s="76">
        <v>1</v>
      </c>
      <c r="GI75" s="76">
        <v>1</v>
      </c>
      <c r="GJ75" s="76">
        <v>1</v>
      </c>
      <c r="GK75" s="76">
        <v>1</v>
      </c>
      <c r="GL75" s="76">
        <v>1</v>
      </c>
      <c r="GM75" s="76">
        <v>1</v>
      </c>
      <c r="GN75" s="76">
        <v>1</v>
      </c>
      <c r="GO75" s="76">
        <v>1</v>
      </c>
      <c r="GP75" s="76">
        <v>1</v>
      </c>
      <c r="GQ75" s="79">
        <v>1</v>
      </c>
      <c r="GR75" s="76">
        <v>1</v>
      </c>
      <c r="GS75" s="76">
        <v>1</v>
      </c>
      <c r="GT75" s="76">
        <v>1</v>
      </c>
      <c r="GU75" s="76">
        <v>1</v>
      </c>
      <c r="GV75" s="76">
        <v>1</v>
      </c>
      <c r="GW75" s="76">
        <v>1</v>
      </c>
      <c r="GX75" s="76">
        <v>1</v>
      </c>
      <c r="GY75" s="76">
        <v>1</v>
      </c>
      <c r="GZ75" s="76">
        <v>1</v>
      </c>
      <c r="HA75" s="76">
        <v>1</v>
      </c>
      <c r="HB75" s="76">
        <v>1</v>
      </c>
      <c r="HC75" s="76">
        <v>1</v>
      </c>
      <c r="HD75" s="76">
        <v>1</v>
      </c>
      <c r="HE75" s="76">
        <v>1</v>
      </c>
      <c r="HF75" s="76">
        <v>1</v>
      </c>
      <c r="HG75" s="76">
        <v>1</v>
      </c>
      <c r="HH75" s="76">
        <v>1</v>
      </c>
      <c r="HI75" s="76">
        <v>1</v>
      </c>
      <c r="HJ75" s="76">
        <v>1</v>
      </c>
      <c r="HK75" s="76">
        <v>1</v>
      </c>
      <c r="HL75" s="76">
        <v>1</v>
      </c>
      <c r="HM75" s="76">
        <v>1</v>
      </c>
      <c r="HN75" s="76">
        <v>1</v>
      </c>
      <c r="HO75" s="76">
        <v>1</v>
      </c>
      <c r="HP75" s="76">
        <v>1</v>
      </c>
      <c r="HQ75" s="76">
        <v>1</v>
      </c>
      <c r="HR75" s="76">
        <v>1</v>
      </c>
      <c r="HS75" s="76">
        <v>1</v>
      </c>
      <c r="HT75" s="76">
        <v>1</v>
      </c>
      <c r="HU75" s="76">
        <v>1</v>
      </c>
      <c r="HV75" s="76">
        <v>1</v>
      </c>
      <c r="HW75" s="76">
        <v>1</v>
      </c>
      <c r="HX75" s="77">
        <v>1</v>
      </c>
    </row>
    <row r="76" spans="2:232" x14ac:dyDescent="0.2">
      <c r="B76" s="27"/>
      <c r="C76" s="27"/>
      <c r="D76" s="34"/>
      <c r="E76" s="27"/>
      <c r="F76" s="27" t="s">
        <v>197</v>
      </c>
      <c r="G76" s="102">
        <f>COUNTIF(G19:G75,"=1")</f>
        <v>47</v>
      </c>
      <c r="H76" s="102">
        <f t="shared" ref="H76:BS76" si="249">COUNTIF(H19:H75,"=1")</f>
        <v>47</v>
      </c>
      <c r="I76" s="102">
        <f t="shared" si="249"/>
        <v>47</v>
      </c>
      <c r="J76" s="102">
        <f t="shared" si="249"/>
        <v>47</v>
      </c>
      <c r="K76" s="102">
        <f t="shared" si="249"/>
        <v>47</v>
      </c>
      <c r="L76" s="102">
        <f t="shared" si="249"/>
        <v>47</v>
      </c>
      <c r="M76" s="102">
        <f t="shared" si="249"/>
        <v>47</v>
      </c>
      <c r="N76" s="102">
        <f t="shared" si="249"/>
        <v>47</v>
      </c>
      <c r="O76" s="102">
        <f t="shared" si="249"/>
        <v>47</v>
      </c>
      <c r="P76" s="102">
        <f t="shared" si="249"/>
        <v>47</v>
      </c>
      <c r="Q76" s="102">
        <f t="shared" si="249"/>
        <v>47</v>
      </c>
      <c r="R76" s="102">
        <f t="shared" si="249"/>
        <v>47</v>
      </c>
      <c r="S76" s="102">
        <f t="shared" si="249"/>
        <v>47</v>
      </c>
      <c r="T76" s="102">
        <f t="shared" si="249"/>
        <v>47</v>
      </c>
      <c r="U76" s="102">
        <f t="shared" si="249"/>
        <v>47</v>
      </c>
      <c r="V76" s="102">
        <f t="shared" si="249"/>
        <v>47</v>
      </c>
      <c r="W76" s="102">
        <f t="shared" si="249"/>
        <v>47</v>
      </c>
      <c r="X76" s="102">
        <f t="shared" si="249"/>
        <v>47</v>
      </c>
      <c r="Y76" s="102">
        <f t="shared" si="249"/>
        <v>47</v>
      </c>
      <c r="Z76" s="102">
        <f t="shared" si="249"/>
        <v>47</v>
      </c>
      <c r="AA76" s="102">
        <f t="shared" si="249"/>
        <v>47</v>
      </c>
      <c r="AB76" s="102">
        <f t="shared" si="249"/>
        <v>47</v>
      </c>
      <c r="AC76" s="102">
        <f t="shared" si="249"/>
        <v>47</v>
      </c>
      <c r="AD76" s="102">
        <f t="shared" si="249"/>
        <v>47</v>
      </c>
      <c r="AE76" s="102">
        <f t="shared" si="249"/>
        <v>47</v>
      </c>
      <c r="AF76" s="102">
        <f t="shared" si="249"/>
        <v>47</v>
      </c>
      <c r="AG76" s="102">
        <f t="shared" si="249"/>
        <v>47</v>
      </c>
      <c r="AH76" s="102">
        <f t="shared" si="249"/>
        <v>47</v>
      </c>
      <c r="AI76" s="102">
        <f t="shared" si="249"/>
        <v>47</v>
      </c>
      <c r="AJ76" s="102">
        <f t="shared" si="249"/>
        <v>47</v>
      </c>
      <c r="AK76" s="102">
        <f t="shared" si="249"/>
        <v>47</v>
      </c>
      <c r="AL76" s="102">
        <f t="shared" si="249"/>
        <v>47</v>
      </c>
      <c r="AM76" s="102">
        <f t="shared" si="249"/>
        <v>47</v>
      </c>
      <c r="AN76" s="102">
        <f t="shared" si="249"/>
        <v>47</v>
      </c>
      <c r="AO76" s="102">
        <f t="shared" si="249"/>
        <v>47</v>
      </c>
      <c r="AP76" s="102">
        <f t="shared" si="249"/>
        <v>47</v>
      </c>
      <c r="AQ76" s="102">
        <f t="shared" si="249"/>
        <v>47</v>
      </c>
      <c r="AR76" s="102">
        <f t="shared" si="249"/>
        <v>47</v>
      </c>
      <c r="AS76" s="102">
        <f t="shared" si="249"/>
        <v>47</v>
      </c>
      <c r="AT76" s="102">
        <f t="shared" si="249"/>
        <v>47</v>
      </c>
      <c r="AU76" s="102">
        <f t="shared" si="249"/>
        <v>47</v>
      </c>
      <c r="AV76" s="102">
        <f t="shared" si="249"/>
        <v>47</v>
      </c>
      <c r="AW76" s="102">
        <f t="shared" si="249"/>
        <v>47</v>
      </c>
      <c r="AX76" s="102">
        <f t="shared" si="249"/>
        <v>47</v>
      </c>
      <c r="AY76" s="102">
        <f t="shared" si="249"/>
        <v>47</v>
      </c>
      <c r="AZ76" s="102">
        <f t="shared" si="249"/>
        <v>47</v>
      </c>
      <c r="BA76" s="102">
        <f t="shared" si="249"/>
        <v>49</v>
      </c>
      <c r="BB76" s="102">
        <f t="shared" si="249"/>
        <v>49</v>
      </c>
      <c r="BC76" s="102">
        <f t="shared" si="249"/>
        <v>49</v>
      </c>
      <c r="BD76" s="102">
        <f t="shared" si="249"/>
        <v>49</v>
      </c>
      <c r="BE76" s="102">
        <f t="shared" si="249"/>
        <v>49</v>
      </c>
      <c r="BF76" s="102">
        <f t="shared" si="249"/>
        <v>49</v>
      </c>
      <c r="BG76" s="102">
        <f t="shared" si="249"/>
        <v>49</v>
      </c>
      <c r="BH76" s="102">
        <f t="shared" si="249"/>
        <v>49</v>
      </c>
      <c r="BI76" s="102">
        <f t="shared" si="249"/>
        <v>49</v>
      </c>
      <c r="BJ76" s="102">
        <f t="shared" si="249"/>
        <v>49</v>
      </c>
      <c r="BK76" s="102">
        <f t="shared" si="249"/>
        <v>49</v>
      </c>
      <c r="BL76" s="102">
        <f t="shared" si="249"/>
        <v>51</v>
      </c>
      <c r="BM76" s="102">
        <f t="shared" si="249"/>
        <v>51</v>
      </c>
      <c r="BN76" s="102">
        <f t="shared" si="249"/>
        <v>51</v>
      </c>
      <c r="BO76" s="102">
        <f t="shared" si="249"/>
        <v>51</v>
      </c>
      <c r="BP76" s="102">
        <f t="shared" si="249"/>
        <v>51</v>
      </c>
      <c r="BQ76" s="102">
        <f t="shared" si="249"/>
        <v>51</v>
      </c>
      <c r="BR76" s="102">
        <f t="shared" si="249"/>
        <v>51</v>
      </c>
      <c r="BS76" s="102">
        <f t="shared" si="249"/>
        <v>51</v>
      </c>
      <c r="BT76" s="102">
        <f t="shared" ref="BT76:EE76" si="250">COUNTIF(BT19:BT75,"=1")</f>
        <v>51</v>
      </c>
      <c r="BU76" s="102">
        <f t="shared" si="250"/>
        <v>51</v>
      </c>
      <c r="BV76" s="102">
        <f t="shared" si="250"/>
        <v>51</v>
      </c>
      <c r="BW76" s="102">
        <f t="shared" si="250"/>
        <v>51</v>
      </c>
      <c r="BX76" s="102">
        <f t="shared" si="250"/>
        <v>51</v>
      </c>
      <c r="BY76" s="102">
        <f t="shared" si="250"/>
        <v>49</v>
      </c>
      <c r="BZ76" s="102">
        <f t="shared" si="250"/>
        <v>49</v>
      </c>
      <c r="CA76" s="102">
        <f t="shared" si="250"/>
        <v>49</v>
      </c>
      <c r="CB76" s="102">
        <f t="shared" si="250"/>
        <v>49</v>
      </c>
      <c r="CC76" s="102">
        <f t="shared" si="250"/>
        <v>49</v>
      </c>
      <c r="CD76" s="102">
        <f t="shared" si="250"/>
        <v>49</v>
      </c>
      <c r="CE76" s="102">
        <f t="shared" si="250"/>
        <v>49</v>
      </c>
      <c r="CF76" s="102">
        <f t="shared" si="250"/>
        <v>49</v>
      </c>
      <c r="CG76" s="102">
        <f t="shared" si="250"/>
        <v>49</v>
      </c>
      <c r="CH76" s="102">
        <f t="shared" si="250"/>
        <v>49</v>
      </c>
      <c r="CI76" s="102">
        <f t="shared" si="250"/>
        <v>49</v>
      </c>
      <c r="CJ76" s="102">
        <f t="shared" si="250"/>
        <v>51</v>
      </c>
      <c r="CK76" s="102">
        <f t="shared" si="250"/>
        <v>51</v>
      </c>
      <c r="CL76" s="102">
        <f t="shared" si="250"/>
        <v>51</v>
      </c>
      <c r="CM76" s="102">
        <f t="shared" si="250"/>
        <v>51</v>
      </c>
      <c r="CN76" s="102">
        <f t="shared" si="250"/>
        <v>51</v>
      </c>
      <c r="CO76" s="102">
        <f t="shared" si="250"/>
        <v>51</v>
      </c>
      <c r="CP76" s="102">
        <f t="shared" si="250"/>
        <v>51</v>
      </c>
      <c r="CQ76" s="102">
        <f t="shared" si="250"/>
        <v>51</v>
      </c>
      <c r="CR76" s="102">
        <f t="shared" si="250"/>
        <v>51</v>
      </c>
      <c r="CS76" s="102">
        <f t="shared" si="250"/>
        <v>51</v>
      </c>
      <c r="CT76" s="102">
        <f t="shared" si="250"/>
        <v>51</v>
      </c>
      <c r="CU76" s="102">
        <f t="shared" si="250"/>
        <v>51</v>
      </c>
      <c r="CV76" s="102">
        <f t="shared" si="250"/>
        <v>51</v>
      </c>
      <c r="CW76" s="102">
        <f t="shared" si="250"/>
        <v>49</v>
      </c>
      <c r="CX76" s="102">
        <f t="shared" si="250"/>
        <v>49</v>
      </c>
      <c r="CY76" s="102">
        <f t="shared" si="250"/>
        <v>49</v>
      </c>
      <c r="CZ76" s="102">
        <f t="shared" si="250"/>
        <v>49</v>
      </c>
      <c r="DA76" s="102">
        <f t="shared" si="250"/>
        <v>49</v>
      </c>
      <c r="DB76" s="102">
        <f t="shared" si="250"/>
        <v>49</v>
      </c>
      <c r="DC76" s="102">
        <f t="shared" si="250"/>
        <v>49</v>
      </c>
      <c r="DD76" s="102">
        <f t="shared" si="250"/>
        <v>49</v>
      </c>
      <c r="DE76" s="102">
        <f t="shared" si="250"/>
        <v>49</v>
      </c>
      <c r="DF76" s="102">
        <f t="shared" si="250"/>
        <v>49</v>
      </c>
      <c r="DG76" s="102">
        <f t="shared" si="250"/>
        <v>49</v>
      </c>
      <c r="DH76" s="102">
        <f t="shared" si="250"/>
        <v>51</v>
      </c>
      <c r="DI76" s="102">
        <f t="shared" si="250"/>
        <v>51</v>
      </c>
      <c r="DJ76" s="102">
        <f t="shared" si="250"/>
        <v>51</v>
      </c>
      <c r="DK76" s="102">
        <f t="shared" si="250"/>
        <v>51</v>
      </c>
      <c r="DL76" s="102">
        <f t="shared" si="250"/>
        <v>51</v>
      </c>
      <c r="DM76" s="102">
        <f t="shared" si="250"/>
        <v>51</v>
      </c>
      <c r="DN76" s="102">
        <f t="shared" si="250"/>
        <v>51</v>
      </c>
      <c r="DO76" s="102">
        <f t="shared" si="250"/>
        <v>51</v>
      </c>
      <c r="DP76" s="102">
        <f t="shared" si="250"/>
        <v>51</v>
      </c>
      <c r="DQ76" s="102">
        <f t="shared" si="250"/>
        <v>51</v>
      </c>
      <c r="DR76" s="102">
        <f t="shared" si="250"/>
        <v>51</v>
      </c>
      <c r="DS76" s="102">
        <f t="shared" si="250"/>
        <v>51</v>
      </c>
      <c r="DT76" s="102">
        <f t="shared" si="250"/>
        <v>51</v>
      </c>
      <c r="DU76" s="102">
        <f t="shared" si="250"/>
        <v>49</v>
      </c>
      <c r="DV76" s="102">
        <f t="shared" si="250"/>
        <v>49</v>
      </c>
      <c r="DW76" s="102">
        <f t="shared" si="250"/>
        <v>49</v>
      </c>
      <c r="DX76" s="102">
        <f t="shared" si="250"/>
        <v>49</v>
      </c>
      <c r="DY76" s="102">
        <f t="shared" si="250"/>
        <v>49</v>
      </c>
      <c r="DZ76" s="102">
        <f t="shared" si="250"/>
        <v>49</v>
      </c>
      <c r="EA76" s="102">
        <f t="shared" si="250"/>
        <v>49</v>
      </c>
      <c r="EB76" s="102">
        <f t="shared" si="250"/>
        <v>49</v>
      </c>
      <c r="EC76" s="102">
        <f t="shared" si="250"/>
        <v>49</v>
      </c>
      <c r="ED76" s="102">
        <f t="shared" si="250"/>
        <v>49</v>
      </c>
      <c r="EE76" s="102">
        <f t="shared" si="250"/>
        <v>49</v>
      </c>
      <c r="EF76" s="102">
        <f t="shared" ref="EF76:GQ76" si="251">COUNTIF(EF19:EF75,"=1")</f>
        <v>51</v>
      </c>
      <c r="EG76" s="102">
        <f t="shared" si="251"/>
        <v>51</v>
      </c>
      <c r="EH76" s="102">
        <f t="shared" si="251"/>
        <v>51</v>
      </c>
      <c r="EI76" s="102">
        <f t="shared" si="251"/>
        <v>51</v>
      </c>
      <c r="EJ76" s="102">
        <f t="shared" si="251"/>
        <v>51</v>
      </c>
      <c r="EK76" s="102">
        <f t="shared" si="251"/>
        <v>51</v>
      </c>
      <c r="EL76" s="102">
        <f t="shared" si="251"/>
        <v>51</v>
      </c>
      <c r="EM76" s="102">
        <f t="shared" si="251"/>
        <v>51</v>
      </c>
      <c r="EN76" s="102">
        <f t="shared" si="251"/>
        <v>51</v>
      </c>
      <c r="EO76" s="102">
        <f t="shared" si="251"/>
        <v>51</v>
      </c>
      <c r="EP76" s="102">
        <f t="shared" si="251"/>
        <v>51</v>
      </c>
      <c r="EQ76" s="102">
        <f t="shared" si="251"/>
        <v>51</v>
      </c>
      <c r="ER76" s="102">
        <f t="shared" si="251"/>
        <v>51</v>
      </c>
      <c r="ES76" s="102">
        <f t="shared" si="251"/>
        <v>49</v>
      </c>
      <c r="ET76" s="102">
        <f t="shared" si="251"/>
        <v>49</v>
      </c>
      <c r="EU76" s="102">
        <f t="shared" si="251"/>
        <v>49</v>
      </c>
      <c r="EV76" s="102">
        <f t="shared" si="251"/>
        <v>49</v>
      </c>
      <c r="EW76" s="102">
        <f t="shared" si="251"/>
        <v>49</v>
      </c>
      <c r="EX76" s="102">
        <f t="shared" si="251"/>
        <v>49</v>
      </c>
      <c r="EY76" s="102">
        <f t="shared" si="251"/>
        <v>49</v>
      </c>
      <c r="EZ76" s="102">
        <f t="shared" si="251"/>
        <v>49</v>
      </c>
      <c r="FA76" s="102">
        <f t="shared" si="251"/>
        <v>49</v>
      </c>
      <c r="FB76" s="102">
        <f t="shared" si="251"/>
        <v>49</v>
      </c>
      <c r="FC76" s="102">
        <f t="shared" si="251"/>
        <v>49</v>
      </c>
      <c r="FD76" s="102">
        <f t="shared" si="251"/>
        <v>51</v>
      </c>
      <c r="FE76" s="102">
        <f t="shared" si="251"/>
        <v>51</v>
      </c>
      <c r="FF76" s="102">
        <f t="shared" si="251"/>
        <v>51</v>
      </c>
      <c r="FG76" s="102">
        <f t="shared" si="251"/>
        <v>51</v>
      </c>
      <c r="FH76" s="102">
        <f t="shared" si="251"/>
        <v>51</v>
      </c>
      <c r="FI76" s="102">
        <f t="shared" si="251"/>
        <v>51</v>
      </c>
      <c r="FJ76" s="102">
        <f t="shared" si="251"/>
        <v>51</v>
      </c>
      <c r="FK76" s="102">
        <f t="shared" si="251"/>
        <v>51</v>
      </c>
      <c r="FL76" s="102">
        <f t="shared" si="251"/>
        <v>51</v>
      </c>
      <c r="FM76" s="102">
        <f t="shared" si="251"/>
        <v>51</v>
      </c>
      <c r="FN76" s="102">
        <f t="shared" si="251"/>
        <v>51</v>
      </c>
      <c r="FO76" s="102">
        <f t="shared" si="251"/>
        <v>51</v>
      </c>
      <c r="FP76" s="102">
        <f t="shared" si="251"/>
        <v>51</v>
      </c>
      <c r="FQ76" s="102">
        <f t="shared" si="251"/>
        <v>49</v>
      </c>
      <c r="FR76" s="102">
        <f t="shared" si="251"/>
        <v>49</v>
      </c>
      <c r="FS76" s="102">
        <f t="shared" si="251"/>
        <v>49</v>
      </c>
      <c r="FT76" s="102">
        <f t="shared" si="251"/>
        <v>49</v>
      </c>
      <c r="FU76" s="102">
        <f t="shared" si="251"/>
        <v>49</v>
      </c>
      <c r="FV76" s="102">
        <f t="shared" si="251"/>
        <v>49</v>
      </c>
      <c r="FW76" s="102">
        <f t="shared" si="251"/>
        <v>49</v>
      </c>
      <c r="FX76" s="102">
        <f t="shared" si="251"/>
        <v>49</v>
      </c>
      <c r="FY76" s="102">
        <f t="shared" si="251"/>
        <v>49</v>
      </c>
      <c r="FZ76" s="102">
        <f t="shared" si="251"/>
        <v>49</v>
      </c>
      <c r="GA76" s="102">
        <f t="shared" si="251"/>
        <v>49</v>
      </c>
      <c r="GB76" s="102">
        <f t="shared" si="251"/>
        <v>51</v>
      </c>
      <c r="GC76" s="102">
        <f t="shared" si="251"/>
        <v>51</v>
      </c>
      <c r="GD76" s="102">
        <f t="shared" si="251"/>
        <v>51</v>
      </c>
      <c r="GE76" s="102">
        <f t="shared" si="251"/>
        <v>51</v>
      </c>
      <c r="GF76" s="102">
        <f t="shared" si="251"/>
        <v>51</v>
      </c>
      <c r="GG76" s="102">
        <f t="shared" si="251"/>
        <v>51</v>
      </c>
      <c r="GH76" s="102">
        <f t="shared" si="251"/>
        <v>51</v>
      </c>
      <c r="GI76" s="102">
        <f t="shared" si="251"/>
        <v>51</v>
      </c>
      <c r="GJ76" s="102">
        <f t="shared" si="251"/>
        <v>51</v>
      </c>
      <c r="GK76" s="102">
        <f t="shared" si="251"/>
        <v>51</v>
      </c>
      <c r="GL76" s="102">
        <f t="shared" si="251"/>
        <v>51</v>
      </c>
      <c r="GM76" s="102">
        <f t="shared" si="251"/>
        <v>51</v>
      </c>
      <c r="GN76" s="102">
        <f t="shared" si="251"/>
        <v>51</v>
      </c>
      <c r="GO76" s="102">
        <f t="shared" si="251"/>
        <v>49</v>
      </c>
      <c r="GP76" s="102">
        <f t="shared" si="251"/>
        <v>49</v>
      </c>
      <c r="GQ76" s="102">
        <f t="shared" si="251"/>
        <v>49</v>
      </c>
      <c r="GR76" s="102">
        <f t="shared" ref="GR76:HX76" si="252">COUNTIF(GR19:GR75,"=1")</f>
        <v>49</v>
      </c>
      <c r="GS76" s="102">
        <f t="shared" si="252"/>
        <v>49</v>
      </c>
      <c r="GT76" s="102">
        <f t="shared" si="252"/>
        <v>49</v>
      </c>
      <c r="GU76" s="102">
        <f t="shared" si="252"/>
        <v>49</v>
      </c>
      <c r="GV76" s="102">
        <f t="shared" si="252"/>
        <v>49</v>
      </c>
      <c r="GW76" s="102">
        <f t="shared" si="252"/>
        <v>49</v>
      </c>
      <c r="GX76" s="102">
        <f t="shared" si="252"/>
        <v>49</v>
      </c>
      <c r="GY76" s="102">
        <f t="shared" si="252"/>
        <v>49</v>
      </c>
      <c r="GZ76" s="102">
        <f t="shared" si="252"/>
        <v>51</v>
      </c>
      <c r="HA76" s="102">
        <f t="shared" si="252"/>
        <v>51</v>
      </c>
      <c r="HB76" s="102">
        <f t="shared" si="252"/>
        <v>51</v>
      </c>
      <c r="HC76" s="102">
        <f t="shared" si="252"/>
        <v>51</v>
      </c>
      <c r="HD76" s="102">
        <f t="shared" si="252"/>
        <v>51</v>
      </c>
      <c r="HE76" s="102">
        <f t="shared" si="252"/>
        <v>51</v>
      </c>
      <c r="HF76" s="102">
        <f t="shared" si="252"/>
        <v>51</v>
      </c>
      <c r="HG76" s="102">
        <f t="shared" si="252"/>
        <v>51</v>
      </c>
      <c r="HH76" s="102">
        <f t="shared" si="252"/>
        <v>51</v>
      </c>
      <c r="HI76" s="102">
        <f t="shared" si="252"/>
        <v>51</v>
      </c>
      <c r="HJ76" s="102">
        <f t="shared" si="252"/>
        <v>51</v>
      </c>
      <c r="HK76" s="102">
        <f t="shared" si="252"/>
        <v>51</v>
      </c>
      <c r="HL76" s="102">
        <f t="shared" si="252"/>
        <v>51</v>
      </c>
      <c r="HM76" s="102">
        <f t="shared" si="252"/>
        <v>49</v>
      </c>
      <c r="HN76" s="102">
        <f t="shared" si="252"/>
        <v>49</v>
      </c>
      <c r="HO76" s="102">
        <f t="shared" si="252"/>
        <v>49</v>
      </c>
      <c r="HP76" s="102">
        <f t="shared" si="252"/>
        <v>49</v>
      </c>
      <c r="HQ76" s="102">
        <f t="shared" si="252"/>
        <v>49</v>
      </c>
      <c r="HR76" s="102">
        <f t="shared" si="252"/>
        <v>49</v>
      </c>
      <c r="HS76" s="102">
        <f t="shared" si="252"/>
        <v>49</v>
      </c>
      <c r="HT76" s="102">
        <f t="shared" si="252"/>
        <v>49</v>
      </c>
      <c r="HU76" s="102">
        <f t="shared" si="252"/>
        <v>49</v>
      </c>
      <c r="HV76" s="102">
        <f t="shared" si="252"/>
        <v>49</v>
      </c>
      <c r="HW76" s="102">
        <f t="shared" si="252"/>
        <v>49</v>
      </c>
      <c r="HX76" s="102">
        <f t="shared" si="252"/>
        <v>51</v>
      </c>
    </row>
  </sheetData>
  <autoFilter ref="B18:F75" xr:uid="{42902007-4054-4DE8-918C-46F10C984450}"/>
  <mergeCells count="1">
    <mergeCell ref="B17:F17"/>
  </mergeCells>
  <phoneticPr fontId="1" type="noConversion"/>
  <conditionalFormatting sqref="G19:HX76">
    <cfRule type="cellIs" dxfId="0" priority="2" operator="equal">
      <formula>0</formula>
    </cfRule>
  </conditionalFormatting>
  <pageMargins left="0.7" right="0.7" top="0.75" bottom="0.75" header="0.3" footer="0.3"/>
  <pageSetup scale="85" orientation="portrait" r:id="rId1"/>
  <colBreaks count="2" manualBreakCount="2">
    <brk id="20" max="1048575" man="1"/>
    <brk id="44" max="1048575" man="1"/>
  </colBreaks>
  <customProperties>
    <customPr name="_pios_id" r:id="rId2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172</v>
      </c>
      <c r="X13" t="s">
        <v>173</v>
      </c>
      <c r="AV13" t="s">
        <v>192</v>
      </c>
      <c r="BT13" t="s">
        <v>193</v>
      </c>
      <c r="CO13" t="s">
        <v>194</v>
      </c>
      <c r="CW13" t="s">
        <v>195</v>
      </c>
      <c r="DD13" t="s">
        <v>198</v>
      </c>
      <c r="DH13" t="s">
        <v>200</v>
      </c>
      <c r="DL13" t="s">
        <v>201</v>
      </c>
      <c r="DP13" t="s">
        <v>202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199</v>
      </c>
      <c r="AC16" t="s">
        <v>199</v>
      </c>
      <c r="AD16" t="s">
        <v>199</v>
      </c>
      <c r="AE16" t="s">
        <v>199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196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  <customProperties>
    <customPr name="_pios_id" r:id="rId2"/>
  </customPropertie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customProperties>
    <customPr name="_pios_id" r:id="rId2"/>
  </customProperties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>
        <f>'Plantilla Datos'!E3</f>
        <v>45583</v>
      </c>
      <c r="C2" s="17">
        <f>'Plantilla Datos'!E4</f>
        <v>8.3333333333333329E-2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8" t="s">
        <v>17</v>
      </c>
      <c r="H3" s="38" t="s">
        <v>18</v>
      </c>
      <c r="I3" s="38" t="s">
        <v>19</v>
      </c>
      <c r="J3" s="39" t="s">
        <v>166</v>
      </c>
      <c r="K3" s="39" t="s">
        <v>167</v>
      </c>
      <c r="L3" s="39" t="s">
        <v>168</v>
      </c>
      <c r="M3" s="44" t="s">
        <v>143</v>
      </c>
      <c r="N3" s="44" t="s">
        <v>163</v>
      </c>
      <c r="O3" s="44" t="s">
        <v>164</v>
      </c>
      <c r="P3" s="44" t="s">
        <v>165</v>
      </c>
      <c r="Q3" s="20" t="s">
        <v>144</v>
      </c>
      <c r="R3" s="20" t="s">
        <v>145</v>
      </c>
      <c r="S3" s="20" t="s">
        <v>146</v>
      </c>
      <c r="T3" s="20" t="s">
        <v>147</v>
      </c>
      <c r="U3" s="43" t="s">
        <v>148</v>
      </c>
      <c r="V3" s="43" t="s">
        <v>171</v>
      </c>
      <c r="W3" s="43" t="s">
        <v>170</v>
      </c>
      <c r="X3" s="43" t="s">
        <v>169</v>
      </c>
      <c r="Y3" s="20" t="s">
        <v>149</v>
      </c>
      <c r="Z3" s="20" t="s">
        <v>150</v>
      </c>
      <c r="AA3" s="20" t="s">
        <v>151</v>
      </c>
      <c r="AB3" s="20" t="s">
        <v>152</v>
      </c>
      <c r="AC3" s="32" t="s">
        <v>141</v>
      </c>
      <c r="AD3" s="32" t="s">
        <v>142</v>
      </c>
      <c r="AE3" s="32" t="s">
        <v>153</v>
      </c>
      <c r="AF3" s="33" t="s">
        <v>154</v>
      </c>
      <c r="AG3" s="33" t="s">
        <v>155</v>
      </c>
      <c r="AH3" s="33" t="s">
        <v>156</v>
      </c>
      <c r="AI3" s="32" t="s">
        <v>157</v>
      </c>
      <c r="AJ3" s="32" t="s">
        <v>158</v>
      </c>
      <c r="AK3" s="32" t="s">
        <v>159</v>
      </c>
      <c r="AL3" s="32" t="s">
        <v>160</v>
      </c>
      <c r="AM3" s="32" t="s">
        <v>161</v>
      </c>
      <c r="AN3" s="32" t="s">
        <v>162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5">
        <f>B2+1+C2</f>
        <v>45584.083333333336</v>
      </c>
      <c r="C4" s="17">
        <f>C2</f>
        <v>8.3333333333333329E-2</v>
      </c>
      <c r="D4" s="34">
        <f>TBL_CalcDarwin[[#This Row],[Darwin PLOM
MW]]+TBL_CalcDarwin[[#This Row],[Darwin PLOME
MW]]</f>
        <v>1.42</v>
      </c>
      <c r="E4" s="34">
        <f>TBL_CalcDarwin[[#This Row],[PLOM MW TOTAL BARRA A]]+TBL_CalcDarwin[[#This Row],[PLOM MW TOTAL BARRA B]]</f>
        <v>1.42</v>
      </c>
      <c r="F4" s="34">
        <f>TBL_CalcDarwin[[#This Row],[PLOME MW TOTAL BARRA A]]+TBL_CalcDarwin[[#This Row],[PLOME MW TOTAL BARRA B]]</f>
        <v>0</v>
      </c>
      <c r="G4" s="48">
        <f>'Plantilla Datos'!D9</f>
        <v>1.9</v>
      </c>
      <c r="H4" s="48">
        <f>'Plantilla Datos'!E9</f>
        <v>2.7</v>
      </c>
      <c r="I4" s="49">
        <f>'Plantilla Datos'!F9</f>
        <v>17.3</v>
      </c>
      <c r="J4" s="47">
        <f>CEILING('Plantilla Datos'!$L$3*TBL_CalcDarwin[[#This Row],[Darwin Gusts
m/s]],0.5)</f>
        <v>2</v>
      </c>
      <c r="K4" s="47">
        <f>CEILING('Plantilla Datos'!$L$4*TBL_CalcDarwin[[#This Row],[Darwin Gusts
m/s]],0.5)</f>
        <v>2.5</v>
      </c>
      <c r="L4" s="47">
        <f>CEILING(TBL_CalcDarwin[[#This Row],[Darwin Gusts
m/s]],0.5)</f>
        <v>3</v>
      </c>
      <c r="M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4" s="41">
        <f>INDEX(Curva_Temp[Temp],MATCH(TBL_CalcDarwin[[#This Row],[Darwin Temp.
°C]],Curva_Temp[Temp]))</f>
        <v>15</v>
      </c>
      <c r="R4" s="41">
        <f>INDEX(Curva_Temp[Warranted Power Curve for 
1.194Kg/m3 air density '[kW']
SG 5.0-145 (AM+1, 5.2MW) AT 
90M],MATCH(TBL_CalcDarwin[[#This Row],[Darwin Temp.
°C]],Curva_Temp[Temp]))</f>
        <v>5200</v>
      </c>
      <c r="S4" s="41" cm="1">
        <f t="array" ref="S4">INDEX(Curva_Temp[Temp],MATCH(TBL_CalcDarwin[[#This Row],[Darwin Temp.
°C]],Curva_Temp[Temp])+1)</f>
        <v>20</v>
      </c>
      <c r="T4" s="41" cm="1">
        <f t="array" ref="T4">INDEX(Curva_Temp[Warranted Power Curve for 
1.194Kg/m3 air density '[kW']
SG 5.0-145 (AM+1, 5.2MW) AT 
90M],MATCH(TBL_CalcDarwin[[#This Row],[Darwin Temp.
°C]],Curva_Temp[Temp])+1)</f>
        <v>5000</v>
      </c>
      <c r="U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4" s="41">
        <f>INDEX(Curva_Temp[Temp],MATCH(TBL_CalcDarwin[[#This Row],[Darwin Temp.
°C]],Curva_Temp[Temp]))</f>
        <v>15</v>
      </c>
      <c r="Z4" s="41">
        <f>INDEX(Curva_Temp[Warranted Power Curve for 
1.194Kg/m3 air density '[kW']
SG 5.0-145 (AM 0, 5.0MW) AT 
90M],MATCH(TBL_CalcDarwin[[#This Row],[Darwin Temp.
°C]],Curva_Temp[Temp]))</f>
        <v>5000</v>
      </c>
      <c r="AA4" s="41" cm="1">
        <f t="array" ref="AA4">INDEX(Curva_Temp[Temp],MATCH(TBL_CalcDarwin[[#This Row],[Darwin Temp.
°C]],Curva_Temp[Temp])+1)</f>
        <v>20</v>
      </c>
      <c r="AB4" s="41" cm="1">
        <f t="array" ref="AB4">INDEX(Curva_Temp[Warranted Power Curve for 
1.194Kg/m3 air density '[kW']
SG 5.0-145 (AM 0, 5.0MW) AT 
90M],MATCH(TBL_CalcDarwin[[#This Row],[Darwin Temp.
°C]],Curva_Temp[Temp])+1)</f>
        <v>5000</v>
      </c>
      <c r="AC4" s="45">
        <f>HLOOKUP(TBL_CalcDarwin[[#This Row],[Fecha]],'Plantilla AEG ES'!$E$1:$HX$13,2,FALSE)</f>
        <v>6</v>
      </c>
      <c r="AD4" s="45">
        <f>HLOOKUP(TBL_CalcDarwin[[#This Row],[Fecha]],'Plantilla AEG ES'!$E$1:$HX$13,3,FALSE)</f>
        <v>7</v>
      </c>
      <c r="AE4" s="45">
        <f>HLOOKUP(TBL_CalcDarwin[[#This Row],[Fecha]],'Plantilla AEG ES'!$E$1:$HX$13,4,FALSE)</f>
        <v>9</v>
      </c>
      <c r="AF4" s="45">
        <f>HLOOKUP(TBL_CalcDarwin[[#This Row],[Fecha]],'Plantilla AEG ES'!$E$1:$HX$13,5,FALSE)</f>
        <v>2</v>
      </c>
      <c r="AG4" s="45">
        <f>HLOOKUP(TBL_CalcDarwin[[#This Row],[Fecha]],'Plantilla AEG ES'!$E$1:$HX$13,6,FALSE)</f>
        <v>1</v>
      </c>
      <c r="AH4" s="45">
        <f>HLOOKUP(TBL_CalcDarwin[[#This Row],[Fecha]],'Plantilla AEG ES'!$E$1:$HX$13,7,FALSE)</f>
        <v>0</v>
      </c>
      <c r="AI4" s="46">
        <f>HLOOKUP(TBL_CalcDarwin[[#This Row],[Fecha]],'Plantilla AEG ES'!$E$1:$HX$13,8,FALSE)</f>
        <v>0</v>
      </c>
      <c r="AJ4" s="46">
        <f>HLOOKUP(TBL_CalcDarwin[[#This Row],[Fecha]],'Plantilla AEG ES'!$E$1:$HX$13,9,FALSE)</f>
        <v>1</v>
      </c>
      <c r="AK4" s="46">
        <f>HLOOKUP(TBL_CalcDarwin[[#This Row],[Fecha]],'Plantilla AEG ES'!$E$1:$HX$13,10,FALSE)</f>
        <v>12</v>
      </c>
      <c r="AL4" s="46">
        <f>HLOOKUP(TBL_CalcDarwin[[#This Row],[Fecha]],'Plantilla AEG ES'!$E$1:$HX$13,11,FALSE)</f>
        <v>1</v>
      </c>
      <c r="AM4" s="46">
        <f>HLOOKUP(TBL_CalcDarwin[[#This Row],[Fecha]],'Plantilla AEG ES'!$E$1:$HX$13,12,FALSE)</f>
        <v>5</v>
      </c>
      <c r="AN4" s="46">
        <f>HLOOKUP(TBL_CalcDarwin[[#This Row],[Fecha]],'Plantilla AEG ES'!$E$1:$HX$13,13,FALSE)</f>
        <v>3</v>
      </c>
      <c r="AO4" s="37">
        <f>TBL_CalcDarwin[[#This Row],[Lomitas - Barra A - 5.2 - Cerro]]+TBL_CalcDarwin[[#This Row],[Lomitas - Barra A - 5.2 - Medio]]+TBL_CalcDarwin[[#This Row],[Lomitas - Barra A - 5.2 - Mar]]</f>
        <v>22</v>
      </c>
      <c r="AP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0.495</v>
      </c>
      <c r="AR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0.92500000000000004</v>
      </c>
      <c r="AS4" s="37">
        <f>TBL_CalcDarwin[[#This Row],[Expansión - Barra A - 5.2 - Cerro]]+TBL_CalcDarwin[[#This Row],[Expansión - Barra A - 5.2 - Medio]]+TBL_CalcDarwin[[#This Row],[Expansión - Barra A - 5.2 - Mar]]</f>
        <v>3</v>
      </c>
      <c r="AT4" s="37">
        <f>TBL_CalcDarwin[[#This Row],[Expansión - Barra B - 5.2 - Cerro]]</f>
        <v>3</v>
      </c>
      <c r="AU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4" s="29">
        <f>TBL_CalcDarwin[[#This Row],[Expansión - Barra B - 5.2 - Cerro]]*TBL_CalcDarwin[[#This Row],[AEG 5.2 MW Cerro]]</f>
        <v>0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5">
        <f>B4+TIME(1,0,0)</f>
        <v>45584.125</v>
      </c>
      <c r="C5" s="17">
        <f>C4+TIME(1,0,0)</f>
        <v>0.125</v>
      </c>
      <c r="D5" s="34">
        <f>TBL_CalcDarwin[[#This Row],[Darwin PLOM
MW]]+TBL_CalcDarwin[[#This Row],[Darwin PLOME
MW]]</f>
        <v>0</v>
      </c>
      <c r="E5" s="34">
        <f>TBL_CalcDarwin[[#This Row],[PLOM MW TOTAL BARRA A]]+TBL_CalcDarwin[[#This Row],[PLOM MW TOTAL BARRA B]]</f>
        <v>0</v>
      </c>
      <c r="F5" s="34">
        <f>TBL_CalcDarwin[[#This Row],[PLOME MW TOTAL BARRA A]]+TBL_CalcDarwin[[#This Row],[PLOME MW TOTAL BARRA B]]</f>
        <v>0</v>
      </c>
      <c r="G5" s="48">
        <f>'Plantilla Datos'!D10</f>
        <v>1.4</v>
      </c>
      <c r="H5" s="48">
        <f>'Plantilla Datos'!E10</f>
        <v>2.1</v>
      </c>
      <c r="I5" s="49">
        <f>'Plantilla Datos'!F10</f>
        <v>17.100000000000001</v>
      </c>
      <c r="J5" s="47">
        <f>CEILING('Plantilla Datos'!$L$3*TBL_CalcDarwin[[#This Row],[Darwin Gusts
m/s]],0.5)</f>
        <v>2</v>
      </c>
      <c r="K5" s="47">
        <f>CEILING('Plantilla Datos'!$L$4*TBL_CalcDarwin[[#This Row],[Darwin Gusts
m/s]],0.5)</f>
        <v>2</v>
      </c>
      <c r="L5" s="47">
        <f>CEILING(TBL_CalcDarwin[[#This Row],[Darwin Gusts
m/s]],0.5)</f>
        <v>2.5</v>
      </c>
      <c r="M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5" s="41">
        <f>INDEX(Curva_Temp[Temp],MATCH(TBL_CalcDarwin[[#This Row],[Darwin Temp.
°C]],Curva_Temp[Temp]))</f>
        <v>15</v>
      </c>
      <c r="R5" s="41">
        <f>INDEX(Curva_Temp[Warranted Power Curve for 
1.194Kg/m3 air density '[kW']
SG 5.0-145 (AM+1, 5.2MW) AT 
90M],MATCH(TBL_CalcDarwin[[#This Row],[Darwin Temp.
°C]],Curva_Temp[Temp]))</f>
        <v>5200</v>
      </c>
      <c r="S5" s="41" cm="1">
        <f t="array" ref="S5">INDEX(Curva_Temp[Temp],MATCH(TBL_CalcDarwin[[#This Row],[Darwin Temp.
°C]],Curva_Temp[Temp])+1)</f>
        <v>20</v>
      </c>
      <c r="T5" s="41" cm="1">
        <f t="array" ref="T5">INDEX(Curva_Temp[Warranted Power Curve for 
1.194Kg/m3 air density '[kW']
SG 5.0-145 (AM+1, 5.2MW) AT 
90M],MATCH(TBL_CalcDarwin[[#This Row],[Darwin Temp.
°C]],Curva_Temp[Temp])+1)</f>
        <v>5000</v>
      </c>
      <c r="U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5" s="41">
        <f>INDEX(Curva_Temp[Temp],MATCH(TBL_CalcDarwin[[#This Row],[Darwin Temp.
°C]],Curva_Temp[Temp]))</f>
        <v>15</v>
      </c>
      <c r="Z5" s="41">
        <f>INDEX(Curva_Temp[Warranted Power Curve for 
1.194Kg/m3 air density '[kW']
SG 5.0-145 (AM 0, 5.0MW) AT 
90M],MATCH(TBL_CalcDarwin[[#This Row],[Darwin Temp.
°C]],Curva_Temp[Temp]))</f>
        <v>5000</v>
      </c>
      <c r="AA5" s="41" cm="1">
        <f t="array" ref="AA5">INDEX(Curva_Temp[Temp],MATCH(TBL_CalcDarwin[[#This Row],[Darwin Temp.
°C]],Curva_Temp[Temp])+1)</f>
        <v>20</v>
      </c>
      <c r="AB5" s="41" cm="1">
        <f t="array" ref="AB5">INDEX(Curva_Temp[Warranted Power Curve for 
1.194Kg/m3 air density '[kW']
SG 5.0-145 (AM 0, 5.0MW) AT 
90M],MATCH(TBL_CalcDarwin[[#This Row],[Darwin Temp.
°C]],Curva_Temp[Temp])+1)</f>
        <v>5000</v>
      </c>
      <c r="AC5" s="45">
        <f>HLOOKUP(TBL_CalcDarwin[[#This Row],[Fecha]],'Plantilla AEG ES'!$E$1:$HX$13,2,FALSE)</f>
        <v>6</v>
      </c>
      <c r="AD5" s="45">
        <f>HLOOKUP(TBL_CalcDarwin[[#This Row],[Fecha]],'Plantilla AEG ES'!$E$1:$HX$13,3,FALSE)</f>
        <v>7</v>
      </c>
      <c r="AE5" s="45">
        <f>HLOOKUP(TBL_CalcDarwin[[#This Row],[Fecha]],'Plantilla AEG ES'!$E$1:$HX$13,4,FALSE)</f>
        <v>9</v>
      </c>
      <c r="AF5" s="45">
        <f>HLOOKUP(TBL_CalcDarwin[[#This Row],[Fecha]],'Plantilla AEG ES'!$E$1:$HX$13,5,FALSE)</f>
        <v>2</v>
      </c>
      <c r="AG5" s="45">
        <f>HLOOKUP(TBL_CalcDarwin[[#This Row],[Fecha]],'Plantilla AEG ES'!$E$1:$HX$13,6,FALSE)</f>
        <v>1</v>
      </c>
      <c r="AH5" s="45">
        <f>HLOOKUP(TBL_CalcDarwin[[#This Row],[Fecha]],'Plantilla AEG ES'!$E$1:$HX$13,7,FALSE)</f>
        <v>0</v>
      </c>
      <c r="AI5" s="46">
        <f>HLOOKUP(TBL_CalcDarwin[[#This Row],[Fecha]],'Plantilla AEG ES'!$E$1:$HX$13,8,FALSE)</f>
        <v>0</v>
      </c>
      <c r="AJ5" s="46">
        <f>HLOOKUP(TBL_CalcDarwin[[#This Row],[Fecha]],'Plantilla AEG ES'!$E$1:$HX$13,9,FALSE)</f>
        <v>1</v>
      </c>
      <c r="AK5" s="46">
        <f>HLOOKUP(TBL_CalcDarwin[[#This Row],[Fecha]],'Plantilla AEG ES'!$E$1:$HX$13,10,FALSE)</f>
        <v>12</v>
      </c>
      <c r="AL5" s="46">
        <f>HLOOKUP(TBL_CalcDarwin[[#This Row],[Fecha]],'Plantilla AEG ES'!$E$1:$HX$13,11,FALSE)</f>
        <v>1</v>
      </c>
      <c r="AM5" s="46">
        <f>HLOOKUP(TBL_CalcDarwin[[#This Row],[Fecha]],'Plantilla AEG ES'!$E$1:$HX$13,12,FALSE)</f>
        <v>5</v>
      </c>
      <c r="AN5" s="46">
        <f>HLOOKUP(TBL_CalcDarwin[[#This Row],[Fecha]],'Plantilla AEG ES'!$E$1:$HX$13,13,FALSE)</f>
        <v>3</v>
      </c>
      <c r="AO5" s="37">
        <f>TBL_CalcDarwin[[#This Row],[Lomitas - Barra A - 5.2 - Cerro]]+TBL_CalcDarwin[[#This Row],[Lomitas - Barra A - 5.2 - Medio]]+TBL_CalcDarwin[[#This Row],[Lomitas - Barra A - 5.2 - Mar]]</f>
        <v>22</v>
      </c>
      <c r="AP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5" s="37">
        <f>TBL_CalcDarwin[[#This Row],[Expansión - Barra A - 5.2 - Cerro]]+TBL_CalcDarwin[[#This Row],[Expansión - Barra A - 5.2 - Medio]]+TBL_CalcDarwin[[#This Row],[Expansión - Barra A - 5.2 - Mar]]</f>
        <v>3</v>
      </c>
      <c r="AT5" s="37">
        <f>TBL_CalcDarwin[[#This Row],[Expansión - Barra B - 5.2 - Cerro]]</f>
        <v>3</v>
      </c>
      <c r="AU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5" s="29">
        <f>TBL_CalcDarwin[[#This Row],[Expansión - Barra B - 5.2 - Cerro]]*TBL_CalcDarwin[[#This Row],[AEG 5.2 MW Cerro]]</f>
        <v>0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5">
        <f t="shared" ref="B6:B69" si="0">B5+TIME(1,0,0)</f>
        <v>45584.166666666664</v>
      </c>
      <c r="C6" s="17">
        <f t="shared" ref="C6:C22" si="1">C5+TIME(1,0,0)</f>
        <v>0.16666666666666666</v>
      </c>
      <c r="D6" s="34">
        <f>TBL_CalcDarwin[[#This Row],[Darwin PLOM
MW]]+TBL_CalcDarwin[[#This Row],[Darwin PLOME
MW]]</f>
        <v>0</v>
      </c>
      <c r="E6" s="34">
        <f>TBL_CalcDarwin[[#This Row],[PLOM MW TOTAL BARRA A]]+TBL_CalcDarwin[[#This Row],[PLOM MW TOTAL BARRA B]]</f>
        <v>0</v>
      </c>
      <c r="F6" s="34">
        <f>TBL_CalcDarwin[[#This Row],[PLOME MW TOTAL BARRA A]]+TBL_CalcDarwin[[#This Row],[PLOME MW TOTAL BARRA B]]</f>
        <v>0</v>
      </c>
      <c r="G6" s="48">
        <f>'Plantilla Datos'!D11</f>
        <v>1.2</v>
      </c>
      <c r="H6" s="48">
        <f>'Plantilla Datos'!E11</f>
        <v>1.9</v>
      </c>
      <c r="I6" s="49">
        <f>'Plantilla Datos'!F11</f>
        <v>16.8</v>
      </c>
      <c r="J6" s="47">
        <f>CEILING('Plantilla Datos'!$L$3*TBL_CalcDarwin[[#This Row],[Darwin Gusts
m/s]],0.5)</f>
        <v>1.5</v>
      </c>
      <c r="K6" s="47">
        <f>CEILING('Plantilla Datos'!$L$4*TBL_CalcDarwin[[#This Row],[Darwin Gusts
m/s]],0.5)</f>
        <v>2</v>
      </c>
      <c r="L6" s="47">
        <f>CEILING(TBL_CalcDarwin[[#This Row],[Darwin Gusts
m/s]],0.5)</f>
        <v>2</v>
      </c>
      <c r="M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6" s="41">
        <f>INDEX(Curva_Temp[Temp],MATCH(TBL_CalcDarwin[[#This Row],[Darwin Temp.
°C]],Curva_Temp[Temp]))</f>
        <v>15</v>
      </c>
      <c r="R6" s="41">
        <f>INDEX(Curva_Temp[Warranted Power Curve for 
1.194Kg/m3 air density '[kW']
SG 5.0-145 (AM+1, 5.2MW) AT 
90M],MATCH(TBL_CalcDarwin[[#This Row],[Darwin Temp.
°C]],Curva_Temp[Temp]))</f>
        <v>5200</v>
      </c>
      <c r="S6" s="41" cm="1">
        <f t="array" ref="S6">INDEX(Curva_Temp[Temp],MATCH(TBL_CalcDarwin[[#This Row],[Darwin Temp.
°C]],Curva_Temp[Temp])+1)</f>
        <v>20</v>
      </c>
      <c r="T6" s="41" cm="1">
        <f t="array" ref="T6">INDEX(Curva_Temp[Warranted Power Curve for 
1.194Kg/m3 air density '[kW']
SG 5.0-145 (AM+1, 5.2MW) AT 
90M],MATCH(TBL_CalcDarwin[[#This Row],[Darwin Temp.
°C]],Curva_Temp[Temp])+1)</f>
        <v>5000</v>
      </c>
      <c r="U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6" s="41">
        <f>INDEX(Curva_Temp[Temp],MATCH(TBL_CalcDarwin[[#This Row],[Darwin Temp.
°C]],Curva_Temp[Temp]))</f>
        <v>15</v>
      </c>
      <c r="Z6" s="41">
        <f>INDEX(Curva_Temp[Warranted Power Curve for 
1.194Kg/m3 air density '[kW']
SG 5.0-145 (AM 0, 5.0MW) AT 
90M],MATCH(TBL_CalcDarwin[[#This Row],[Darwin Temp.
°C]],Curva_Temp[Temp]))</f>
        <v>5000</v>
      </c>
      <c r="AA6" s="41" cm="1">
        <f t="array" ref="AA6">INDEX(Curva_Temp[Temp],MATCH(TBL_CalcDarwin[[#This Row],[Darwin Temp.
°C]],Curva_Temp[Temp])+1)</f>
        <v>20</v>
      </c>
      <c r="AB6" s="41" cm="1">
        <f t="array" ref="AB6">INDEX(Curva_Temp[Warranted Power Curve for 
1.194Kg/m3 air density '[kW']
SG 5.0-145 (AM 0, 5.0MW) AT 
90M],MATCH(TBL_CalcDarwin[[#This Row],[Darwin Temp.
°C]],Curva_Temp[Temp])+1)</f>
        <v>5000</v>
      </c>
      <c r="AC6" s="45">
        <f>HLOOKUP(TBL_CalcDarwin[[#This Row],[Fecha]],'Plantilla AEG ES'!$E$1:$HX$13,2,FALSE)</f>
        <v>6</v>
      </c>
      <c r="AD6" s="45">
        <f>HLOOKUP(TBL_CalcDarwin[[#This Row],[Fecha]],'Plantilla AEG ES'!$E$1:$HX$13,3,FALSE)</f>
        <v>7</v>
      </c>
      <c r="AE6" s="45">
        <f>HLOOKUP(TBL_CalcDarwin[[#This Row],[Fecha]],'Plantilla AEG ES'!$E$1:$HX$13,4,FALSE)</f>
        <v>9</v>
      </c>
      <c r="AF6" s="45">
        <f>HLOOKUP(TBL_CalcDarwin[[#This Row],[Fecha]],'Plantilla AEG ES'!$E$1:$HX$13,5,FALSE)</f>
        <v>2</v>
      </c>
      <c r="AG6" s="45">
        <f>HLOOKUP(TBL_CalcDarwin[[#This Row],[Fecha]],'Plantilla AEG ES'!$E$1:$HX$13,6,FALSE)</f>
        <v>1</v>
      </c>
      <c r="AH6" s="45">
        <f>HLOOKUP(TBL_CalcDarwin[[#This Row],[Fecha]],'Plantilla AEG ES'!$E$1:$HX$13,7,FALSE)</f>
        <v>0</v>
      </c>
      <c r="AI6" s="46">
        <f>HLOOKUP(TBL_CalcDarwin[[#This Row],[Fecha]],'Plantilla AEG ES'!$E$1:$HX$13,8,FALSE)</f>
        <v>0</v>
      </c>
      <c r="AJ6" s="46">
        <f>HLOOKUP(TBL_CalcDarwin[[#This Row],[Fecha]],'Plantilla AEG ES'!$E$1:$HX$13,9,FALSE)</f>
        <v>1</v>
      </c>
      <c r="AK6" s="46">
        <f>HLOOKUP(TBL_CalcDarwin[[#This Row],[Fecha]],'Plantilla AEG ES'!$E$1:$HX$13,10,FALSE)</f>
        <v>12</v>
      </c>
      <c r="AL6" s="46">
        <f>HLOOKUP(TBL_CalcDarwin[[#This Row],[Fecha]],'Plantilla AEG ES'!$E$1:$HX$13,11,FALSE)</f>
        <v>1</v>
      </c>
      <c r="AM6" s="46">
        <f>HLOOKUP(TBL_CalcDarwin[[#This Row],[Fecha]],'Plantilla AEG ES'!$E$1:$HX$13,12,FALSE)</f>
        <v>5</v>
      </c>
      <c r="AN6" s="46">
        <f>HLOOKUP(TBL_CalcDarwin[[#This Row],[Fecha]],'Plantilla AEG ES'!$E$1:$HX$13,13,FALSE)</f>
        <v>3</v>
      </c>
      <c r="AO6" s="37">
        <f>TBL_CalcDarwin[[#This Row],[Lomitas - Barra A - 5.2 - Cerro]]+TBL_CalcDarwin[[#This Row],[Lomitas - Barra A - 5.2 - Medio]]+TBL_CalcDarwin[[#This Row],[Lomitas - Barra A - 5.2 - Mar]]</f>
        <v>22</v>
      </c>
      <c r="AP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6" s="37">
        <f>TBL_CalcDarwin[[#This Row],[Expansión - Barra A - 5.2 - Cerro]]+TBL_CalcDarwin[[#This Row],[Expansión - Barra A - 5.2 - Medio]]+TBL_CalcDarwin[[#This Row],[Expansión - Barra A - 5.2 - Mar]]</f>
        <v>3</v>
      </c>
      <c r="AT6" s="37">
        <f>TBL_CalcDarwin[[#This Row],[Expansión - Barra B - 5.2 - Cerro]]</f>
        <v>3</v>
      </c>
      <c r="AU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6" s="29">
        <f>TBL_CalcDarwin[[#This Row],[Expansión - Barra B - 5.2 - Cerro]]*TBL_CalcDarwin[[#This Row],[AEG 5.2 MW Cerro]]</f>
        <v>0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5">
        <f t="shared" si="0"/>
        <v>45584.208333333328</v>
      </c>
      <c r="C7" s="17">
        <f t="shared" si="1"/>
        <v>0.20833333333333331</v>
      </c>
      <c r="D7" s="34">
        <f>TBL_CalcDarwin[[#This Row],[Darwin PLOM
MW]]+TBL_CalcDarwin[[#This Row],[Darwin PLOME
MW]]</f>
        <v>0</v>
      </c>
      <c r="E7" s="34">
        <f>TBL_CalcDarwin[[#This Row],[PLOM MW TOTAL BARRA A]]+TBL_CalcDarwin[[#This Row],[PLOM MW TOTAL BARRA B]]</f>
        <v>0</v>
      </c>
      <c r="F7" s="34">
        <f>TBL_CalcDarwin[[#This Row],[PLOME MW TOTAL BARRA A]]+TBL_CalcDarwin[[#This Row],[PLOME MW TOTAL BARRA B]]</f>
        <v>0</v>
      </c>
      <c r="G7" s="48">
        <f>'Plantilla Datos'!D12</f>
        <v>1.2</v>
      </c>
      <c r="H7" s="48">
        <f>'Plantilla Datos'!E12</f>
        <v>1.8</v>
      </c>
      <c r="I7" s="49">
        <f>'Plantilla Datos'!F12</f>
        <v>16.600000000000001</v>
      </c>
      <c r="J7" s="47">
        <f>CEILING('Plantilla Datos'!$L$3*TBL_CalcDarwin[[#This Row],[Darwin Gusts
m/s]],0.5)</f>
        <v>1.5</v>
      </c>
      <c r="K7" s="47">
        <f>CEILING('Plantilla Datos'!$L$4*TBL_CalcDarwin[[#This Row],[Darwin Gusts
m/s]],0.5)</f>
        <v>2</v>
      </c>
      <c r="L7" s="47">
        <f>CEILING(TBL_CalcDarwin[[#This Row],[Darwin Gusts
m/s]],0.5)</f>
        <v>2</v>
      </c>
      <c r="M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7" s="41">
        <f>INDEX(Curva_Temp[Temp],MATCH(TBL_CalcDarwin[[#This Row],[Darwin Temp.
°C]],Curva_Temp[Temp]))</f>
        <v>15</v>
      </c>
      <c r="R7" s="41">
        <f>INDEX(Curva_Temp[Warranted Power Curve for 
1.194Kg/m3 air density '[kW']
SG 5.0-145 (AM+1, 5.2MW) AT 
90M],MATCH(TBL_CalcDarwin[[#This Row],[Darwin Temp.
°C]],Curva_Temp[Temp]))</f>
        <v>5200</v>
      </c>
      <c r="S7" s="41" cm="1">
        <f t="array" ref="S7">INDEX(Curva_Temp[Temp],MATCH(TBL_CalcDarwin[[#This Row],[Darwin Temp.
°C]],Curva_Temp[Temp])+1)</f>
        <v>20</v>
      </c>
      <c r="T7" s="41" cm="1">
        <f t="array" ref="T7">INDEX(Curva_Temp[Warranted Power Curve for 
1.194Kg/m3 air density '[kW']
SG 5.0-145 (AM+1, 5.2MW) AT 
90M],MATCH(TBL_CalcDarwin[[#This Row],[Darwin Temp.
°C]],Curva_Temp[Temp])+1)</f>
        <v>5000</v>
      </c>
      <c r="U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7" s="41">
        <f>INDEX(Curva_Temp[Temp],MATCH(TBL_CalcDarwin[[#This Row],[Darwin Temp.
°C]],Curva_Temp[Temp]))</f>
        <v>15</v>
      </c>
      <c r="Z7" s="41">
        <f>INDEX(Curva_Temp[Warranted Power Curve for 
1.194Kg/m3 air density '[kW']
SG 5.0-145 (AM 0, 5.0MW) AT 
90M],MATCH(TBL_CalcDarwin[[#This Row],[Darwin Temp.
°C]],Curva_Temp[Temp]))</f>
        <v>5000</v>
      </c>
      <c r="AA7" s="41" cm="1">
        <f t="array" ref="AA7">INDEX(Curva_Temp[Temp],MATCH(TBL_CalcDarwin[[#This Row],[Darwin Temp.
°C]],Curva_Temp[Temp])+1)</f>
        <v>20</v>
      </c>
      <c r="AB7" s="41" cm="1">
        <f t="array" ref="AB7">INDEX(Curva_Temp[Warranted Power Curve for 
1.194Kg/m3 air density '[kW']
SG 5.0-145 (AM 0, 5.0MW) AT 
90M],MATCH(TBL_CalcDarwin[[#This Row],[Darwin Temp.
°C]],Curva_Temp[Temp])+1)</f>
        <v>5000</v>
      </c>
      <c r="AC7" s="45">
        <f>HLOOKUP(TBL_CalcDarwin[[#This Row],[Fecha]],'Plantilla AEG ES'!$E$1:$HX$13,2,FALSE)</f>
        <v>6</v>
      </c>
      <c r="AD7" s="45">
        <f>HLOOKUP(TBL_CalcDarwin[[#This Row],[Fecha]],'Plantilla AEG ES'!$E$1:$HX$13,3,FALSE)</f>
        <v>7</v>
      </c>
      <c r="AE7" s="45">
        <f>HLOOKUP(TBL_CalcDarwin[[#This Row],[Fecha]],'Plantilla AEG ES'!$E$1:$HX$13,4,FALSE)</f>
        <v>9</v>
      </c>
      <c r="AF7" s="45">
        <f>HLOOKUP(TBL_CalcDarwin[[#This Row],[Fecha]],'Plantilla AEG ES'!$E$1:$HX$13,5,FALSE)</f>
        <v>2</v>
      </c>
      <c r="AG7" s="45">
        <f>HLOOKUP(TBL_CalcDarwin[[#This Row],[Fecha]],'Plantilla AEG ES'!$E$1:$HX$13,6,FALSE)</f>
        <v>1</v>
      </c>
      <c r="AH7" s="45">
        <f>HLOOKUP(TBL_CalcDarwin[[#This Row],[Fecha]],'Plantilla AEG ES'!$E$1:$HX$13,7,FALSE)</f>
        <v>0</v>
      </c>
      <c r="AI7" s="46">
        <f>HLOOKUP(TBL_CalcDarwin[[#This Row],[Fecha]],'Plantilla AEG ES'!$E$1:$HX$13,8,FALSE)</f>
        <v>0</v>
      </c>
      <c r="AJ7" s="46">
        <f>HLOOKUP(TBL_CalcDarwin[[#This Row],[Fecha]],'Plantilla AEG ES'!$E$1:$HX$13,9,FALSE)</f>
        <v>1</v>
      </c>
      <c r="AK7" s="46">
        <f>HLOOKUP(TBL_CalcDarwin[[#This Row],[Fecha]],'Plantilla AEG ES'!$E$1:$HX$13,10,FALSE)</f>
        <v>12</v>
      </c>
      <c r="AL7" s="46">
        <f>HLOOKUP(TBL_CalcDarwin[[#This Row],[Fecha]],'Plantilla AEG ES'!$E$1:$HX$13,11,FALSE)</f>
        <v>1</v>
      </c>
      <c r="AM7" s="46">
        <f>HLOOKUP(TBL_CalcDarwin[[#This Row],[Fecha]],'Plantilla AEG ES'!$E$1:$HX$13,12,FALSE)</f>
        <v>5</v>
      </c>
      <c r="AN7" s="46">
        <f>HLOOKUP(TBL_CalcDarwin[[#This Row],[Fecha]],'Plantilla AEG ES'!$E$1:$HX$13,13,FALSE)</f>
        <v>3</v>
      </c>
      <c r="AO7" s="37">
        <f>TBL_CalcDarwin[[#This Row],[Lomitas - Barra A - 5.2 - Cerro]]+TBL_CalcDarwin[[#This Row],[Lomitas - Barra A - 5.2 - Medio]]+TBL_CalcDarwin[[#This Row],[Lomitas - Barra A - 5.2 - Mar]]</f>
        <v>22</v>
      </c>
      <c r="AP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7" s="37">
        <f>TBL_CalcDarwin[[#This Row],[Expansión - Barra A - 5.2 - Cerro]]+TBL_CalcDarwin[[#This Row],[Expansión - Barra A - 5.2 - Medio]]+TBL_CalcDarwin[[#This Row],[Expansión - Barra A - 5.2 - Mar]]</f>
        <v>3</v>
      </c>
      <c r="AT7" s="37">
        <f>TBL_CalcDarwin[[#This Row],[Expansión - Barra B - 5.2 - Cerro]]</f>
        <v>3</v>
      </c>
      <c r="AU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7" s="29">
        <f>TBL_CalcDarwin[[#This Row],[Expansión - Barra B - 5.2 - Cerro]]*TBL_CalcDarwin[[#This Row],[AEG 5.2 MW Cerro]]</f>
        <v>0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5">
        <f t="shared" si="0"/>
        <v>45584.249999999993</v>
      </c>
      <c r="C8" s="17">
        <f t="shared" si="1"/>
        <v>0.24999999999999997</v>
      </c>
      <c r="D8" s="34">
        <f>TBL_CalcDarwin[[#This Row],[Darwin PLOM
MW]]+TBL_CalcDarwin[[#This Row],[Darwin PLOME
MW]]</f>
        <v>0</v>
      </c>
      <c r="E8" s="34">
        <f>TBL_CalcDarwin[[#This Row],[PLOM MW TOTAL BARRA A]]+TBL_CalcDarwin[[#This Row],[PLOM MW TOTAL BARRA B]]</f>
        <v>0</v>
      </c>
      <c r="F8" s="34">
        <f>TBL_CalcDarwin[[#This Row],[PLOME MW TOTAL BARRA A]]+TBL_CalcDarwin[[#This Row],[PLOME MW TOTAL BARRA B]]</f>
        <v>0</v>
      </c>
      <c r="G8" s="48">
        <f>'Plantilla Datos'!D13</f>
        <v>0.7</v>
      </c>
      <c r="H8" s="48">
        <f>'Plantilla Datos'!E13</f>
        <v>1.2</v>
      </c>
      <c r="I8" s="49">
        <f>'Plantilla Datos'!F13</f>
        <v>16.7</v>
      </c>
      <c r="J8" s="47">
        <f>CEILING('Plantilla Datos'!$L$3*TBL_CalcDarwin[[#This Row],[Darwin Gusts
m/s]],0.5)</f>
        <v>1</v>
      </c>
      <c r="K8" s="47">
        <f>CEILING('Plantilla Datos'!$L$4*TBL_CalcDarwin[[#This Row],[Darwin Gusts
m/s]],0.5)</f>
        <v>1.5</v>
      </c>
      <c r="L8" s="47">
        <f>CEILING(TBL_CalcDarwin[[#This Row],[Darwin Gusts
m/s]],0.5)</f>
        <v>1.5</v>
      </c>
      <c r="M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8" s="41">
        <f>INDEX(Curva_Temp[Temp],MATCH(TBL_CalcDarwin[[#This Row],[Darwin Temp.
°C]],Curva_Temp[Temp]))</f>
        <v>15</v>
      </c>
      <c r="R8" s="41">
        <f>INDEX(Curva_Temp[Warranted Power Curve for 
1.194Kg/m3 air density '[kW']
SG 5.0-145 (AM+1, 5.2MW) AT 
90M],MATCH(TBL_CalcDarwin[[#This Row],[Darwin Temp.
°C]],Curva_Temp[Temp]))</f>
        <v>5200</v>
      </c>
      <c r="S8" s="41" cm="1">
        <f t="array" ref="S8">INDEX(Curva_Temp[Temp],MATCH(TBL_CalcDarwin[[#This Row],[Darwin Temp.
°C]],Curva_Temp[Temp])+1)</f>
        <v>20</v>
      </c>
      <c r="T8" s="41" cm="1">
        <f t="array" ref="T8">INDEX(Curva_Temp[Warranted Power Curve for 
1.194Kg/m3 air density '[kW']
SG 5.0-145 (AM+1, 5.2MW) AT 
90M],MATCH(TBL_CalcDarwin[[#This Row],[Darwin Temp.
°C]],Curva_Temp[Temp])+1)</f>
        <v>5000</v>
      </c>
      <c r="U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8" s="41">
        <f>INDEX(Curva_Temp[Temp],MATCH(TBL_CalcDarwin[[#This Row],[Darwin Temp.
°C]],Curva_Temp[Temp]))</f>
        <v>15</v>
      </c>
      <c r="Z8" s="41">
        <f>INDEX(Curva_Temp[Warranted Power Curve for 
1.194Kg/m3 air density '[kW']
SG 5.0-145 (AM 0, 5.0MW) AT 
90M],MATCH(TBL_CalcDarwin[[#This Row],[Darwin Temp.
°C]],Curva_Temp[Temp]))</f>
        <v>5000</v>
      </c>
      <c r="AA8" s="41" cm="1">
        <f t="array" ref="AA8">INDEX(Curva_Temp[Temp],MATCH(TBL_CalcDarwin[[#This Row],[Darwin Temp.
°C]],Curva_Temp[Temp])+1)</f>
        <v>20</v>
      </c>
      <c r="AB8" s="41" cm="1">
        <f t="array" ref="AB8">INDEX(Curva_Temp[Warranted Power Curve for 
1.194Kg/m3 air density '[kW']
SG 5.0-145 (AM 0, 5.0MW) AT 
90M],MATCH(TBL_CalcDarwin[[#This Row],[Darwin Temp.
°C]],Curva_Temp[Temp])+1)</f>
        <v>5000</v>
      </c>
      <c r="AC8" s="45">
        <f>HLOOKUP(TBL_CalcDarwin[[#This Row],[Fecha]],'Plantilla AEG ES'!$E$1:$HX$13,2,FALSE)</f>
        <v>6</v>
      </c>
      <c r="AD8" s="45">
        <f>HLOOKUP(TBL_CalcDarwin[[#This Row],[Fecha]],'Plantilla AEG ES'!$E$1:$HX$13,3,FALSE)</f>
        <v>7</v>
      </c>
      <c r="AE8" s="45">
        <f>HLOOKUP(TBL_CalcDarwin[[#This Row],[Fecha]],'Plantilla AEG ES'!$E$1:$HX$13,4,FALSE)</f>
        <v>9</v>
      </c>
      <c r="AF8" s="45">
        <f>HLOOKUP(TBL_CalcDarwin[[#This Row],[Fecha]],'Plantilla AEG ES'!$E$1:$HX$13,5,FALSE)</f>
        <v>2</v>
      </c>
      <c r="AG8" s="45">
        <f>HLOOKUP(TBL_CalcDarwin[[#This Row],[Fecha]],'Plantilla AEG ES'!$E$1:$HX$13,6,FALSE)</f>
        <v>1</v>
      </c>
      <c r="AH8" s="45">
        <f>HLOOKUP(TBL_CalcDarwin[[#This Row],[Fecha]],'Plantilla AEG ES'!$E$1:$HX$13,7,FALSE)</f>
        <v>0</v>
      </c>
      <c r="AI8" s="46">
        <f>HLOOKUP(TBL_CalcDarwin[[#This Row],[Fecha]],'Plantilla AEG ES'!$E$1:$HX$13,8,FALSE)</f>
        <v>0</v>
      </c>
      <c r="AJ8" s="46">
        <f>HLOOKUP(TBL_CalcDarwin[[#This Row],[Fecha]],'Plantilla AEG ES'!$E$1:$HX$13,9,FALSE)</f>
        <v>1</v>
      </c>
      <c r="AK8" s="46">
        <f>HLOOKUP(TBL_CalcDarwin[[#This Row],[Fecha]],'Plantilla AEG ES'!$E$1:$HX$13,10,FALSE)</f>
        <v>12</v>
      </c>
      <c r="AL8" s="46">
        <f>HLOOKUP(TBL_CalcDarwin[[#This Row],[Fecha]],'Plantilla AEG ES'!$E$1:$HX$13,11,FALSE)</f>
        <v>1</v>
      </c>
      <c r="AM8" s="46">
        <f>HLOOKUP(TBL_CalcDarwin[[#This Row],[Fecha]],'Plantilla AEG ES'!$E$1:$HX$13,12,FALSE)</f>
        <v>5</v>
      </c>
      <c r="AN8" s="46">
        <f>HLOOKUP(TBL_CalcDarwin[[#This Row],[Fecha]],'Plantilla AEG ES'!$E$1:$HX$13,13,FALSE)</f>
        <v>3</v>
      </c>
      <c r="AO8" s="37">
        <f>TBL_CalcDarwin[[#This Row],[Lomitas - Barra A - 5.2 - Cerro]]+TBL_CalcDarwin[[#This Row],[Lomitas - Barra A - 5.2 - Medio]]+TBL_CalcDarwin[[#This Row],[Lomitas - Barra A - 5.2 - Mar]]</f>
        <v>22</v>
      </c>
      <c r="AP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8" s="37">
        <f>TBL_CalcDarwin[[#This Row],[Expansión - Barra A - 5.2 - Cerro]]+TBL_CalcDarwin[[#This Row],[Expansión - Barra A - 5.2 - Medio]]+TBL_CalcDarwin[[#This Row],[Expansión - Barra A - 5.2 - Mar]]</f>
        <v>3</v>
      </c>
      <c r="AT8" s="37">
        <f>TBL_CalcDarwin[[#This Row],[Expansión - Barra B - 5.2 - Cerro]]</f>
        <v>3</v>
      </c>
      <c r="AU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8" s="29">
        <f>TBL_CalcDarwin[[#This Row],[Expansión - Barra B - 5.2 - Cerro]]*TBL_CalcDarwin[[#This Row],[AEG 5.2 MW Cerro]]</f>
        <v>0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5">
        <f t="shared" si="0"/>
        <v>45584.291666666657</v>
      </c>
      <c r="C9" s="17">
        <f t="shared" si="1"/>
        <v>0.29166666666666663</v>
      </c>
      <c r="D9" s="34">
        <f>TBL_CalcDarwin[[#This Row],[Darwin PLOM
MW]]+TBL_CalcDarwin[[#This Row],[Darwin PLOME
MW]]</f>
        <v>0</v>
      </c>
      <c r="E9" s="34">
        <f>TBL_CalcDarwin[[#This Row],[PLOM MW TOTAL BARRA A]]+TBL_CalcDarwin[[#This Row],[PLOM MW TOTAL BARRA B]]</f>
        <v>0</v>
      </c>
      <c r="F9" s="34">
        <f>TBL_CalcDarwin[[#This Row],[PLOME MW TOTAL BARRA A]]+TBL_CalcDarwin[[#This Row],[PLOME MW TOTAL BARRA B]]</f>
        <v>0</v>
      </c>
      <c r="G9" s="48">
        <f>'Plantilla Datos'!D14</f>
        <v>0.7</v>
      </c>
      <c r="H9" s="48">
        <f>'Plantilla Datos'!E14</f>
        <v>1.3</v>
      </c>
      <c r="I9" s="49">
        <f>'Plantilla Datos'!F14</f>
        <v>16.600000000000001</v>
      </c>
      <c r="J9" s="47">
        <f>CEILING('Plantilla Datos'!$L$3*TBL_CalcDarwin[[#This Row],[Darwin Gusts
m/s]],0.5)</f>
        <v>1</v>
      </c>
      <c r="K9" s="47">
        <f>CEILING('Plantilla Datos'!$L$4*TBL_CalcDarwin[[#This Row],[Darwin Gusts
m/s]],0.5)</f>
        <v>1.5</v>
      </c>
      <c r="L9" s="47">
        <f>CEILING(TBL_CalcDarwin[[#This Row],[Darwin Gusts
m/s]],0.5)</f>
        <v>1.5</v>
      </c>
      <c r="M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9" s="41">
        <f>INDEX(Curva_Temp[Temp],MATCH(TBL_CalcDarwin[[#This Row],[Darwin Temp.
°C]],Curva_Temp[Temp]))</f>
        <v>15</v>
      </c>
      <c r="R9" s="41">
        <f>INDEX(Curva_Temp[Warranted Power Curve for 
1.194Kg/m3 air density '[kW']
SG 5.0-145 (AM+1, 5.2MW) AT 
90M],MATCH(TBL_CalcDarwin[[#This Row],[Darwin Temp.
°C]],Curva_Temp[Temp]))</f>
        <v>5200</v>
      </c>
      <c r="S9" s="41" cm="1">
        <f t="array" ref="S9">INDEX(Curva_Temp[Temp],MATCH(TBL_CalcDarwin[[#This Row],[Darwin Temp.
°C]],Curva_Temp[Temp])+1)</f>
        <v>20</v>
      </c>
      <c r="T9" s="41" cm="1">
        <f t="array" ref="T9">INDEX(Curva_Temp[Warranted Power Curve for 
1.194Kg/m3 air density '[kW']
SG 5.0-145 (AM+1, 5.2MW) AT 
90M],MATCH(TBL_CalcDarwin[[#This Row],[Darwin Temp.
°C]],Curva_Temp[Temp])+1)</f>
        <v>5000</v>
      </c>
      <c r="U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9" s="41">
        <f>INDEX(Curva_Temp[Temp],MATCH(TBL_CalcDarwin[[#This Row],[Darwin Temp.
°C]],Curva_Temp[Temp]))</f>
        <v>15</v>
      </c>
      <c r="Z9" s="41">
        <f>INDEX(Curva_Temp[Warranted Power Curve for 
1.194Kg/m3 air density '[kW']
SG 5.0-145 (AM 0, 5.0MW) AT 
90M],MATCH(TBL_CalcDarwin[[#This Row],[Darwin Temp.
°C]],Curva_Temp[Temp]))</f>
        <v>5000</v>
      </c>
      <c r="AA9" s="41" cm="1">
        <f t="array" ref="AA9">INDEX(Curva_Temp[Temp],MATCH(TBL_CalcDarwin[[#This Row],[Darwin Temp.
°C]],Curva_Temp[Temp])+1)</f>
        <v>20</v>
      </c>
      <c r="AB9" s="41" cm="1">
        <f t="array" ref="AB9">INDEX(Curva_Temp[Warranted Power Curve for 
1.194Kg/m3 air density '[kW']
SG 5.0-145 (AM 0, 5.0MW) AT 
90M],MATCH(TBL_CalcDarwin[[#This Row],[Darwin Temp.
°C]],Curva_Temp[Temp])+1)</f>
        <v>5000</v>
      </c>
      <c r="AC9" s="45">
        <f>HLOOKUP(TBL_CalcDarwin[[#This Row],[Fecha]],'Plantilla AEG ES'!$E$1:$HX$13,2,FALSE)</f>
        <v>6</v>
      </c>
      <c r="AD9" s="45">
        <f>HLOOKUP(TBL_CalcDarwin[[#This Row],[Fecha]],'Plantilla AEG ES'!$E$1:$HX$13,3,FALSE)</f>
        <v>7</v>
      </c>
      <c r="AE9" s="45">
        <f>HLOOKUP(TBL_CalcDarwin[[#This Row],[Fecha]],'Plantilla AEG ES'!$E$1:$HX$13,4,FALSE)</f>
        <v>9</v>
      </c>
      <c r="AF9" s="45">
        <f>HLOOKUP(TBL_CalcDarwin[[#This Row],[Fecha]],'Plantilla AEG ES'!$E$1:$HX$13,5,FALSE)</f>
        <v>2</v>
      </c>
      <c r="AG9" s="45">
        <f>HLOOKUP(TBL_CalcDarwin[[#This Row],[Fecha]],'Plantilla AEG ES'!$E$1:$HX$13,6,FALSE)</f>
        <v>1</v>
      </c>
      <c r="AH9" s="45">
        <f>HLOOKUP(TBL_CalcDarwin[[#This Row],[Fecha]],'Plantilla AEG ES'!$E$1:$HX$13,7,FALSE)</f>
        <v>0</v>
      </c>
      <c r="AI9" s="46">
        <f>HLOOKUP(TBL_CalcDarwin[[#This Row],[Fecha]],'Plantilla AEG ES'!$E$1:$HX$13,8,FALSE)</f>
        <v>0</v>
      </c>
      <c r="AJ9" s="46">
        <f>HLOOKUP(TBL_CalcDarwin[[#This Row],[Fecha]],'Plantilla AEG ES'!$E$1:$HX$13,9,FALSE)</f>
        <v>1</v>
      </c>
      <c r="AK9" s="46">
        <f>HLOOKUP(TBL_CalcDarwin[[#This Row],[Fecha]],'Plantilla AEG ES'!$E$1:$HX$13,10,FALSE)</f>
        <v>12</v>
      </c>
      <c r="AL9" s="46">
        <f>HLOOKUP(TBL_CalcDarwin[[#This Row],[Fecha]],'Plantilla AEG ES'!$E$1:$HX$13,11,FALSE)</f>
        <v>1</v>
      </c>
      <c r="AM9" s="46">
        <f>HLOOKUP(TBL_CalcDarwin[[#This Row],[Fecha]],'Plantilla AEG ES'!$E$1:$HX$13,12,FALSE)</f>
        <v>5</v>
      </c>
      <c r="AN9" s="46">
        <f>HLOOKUP(TBL_CalcDarwin[[#This Row],[Fecha]],'Plantilla AEG ES'!$E$1:$HX$13,13,FALSE)</f>
        <v>3</v>
      </c>
      <c r="AO9" s="37">
        <f>TBL_CalcDarwin[[#This Row],[Lomitas - Barra A - 5.2 - Cerro]]+TBL_CalcDarwin[[#This Row],[Lomitas - Barra A - 5.2 - Medio]]+TBL_CalcDarwin[[#This Row],[Lomitas - Barra A - 5.2 - Mar]]</f>
        <v>22</v>
      </c>
      <c r="AP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9" s="37">
        <f>TBL_CalcDarwin[[#This Row],[Expansión - Barra A - 5.2 - Cerro]]+TBL_CalcDarwin[[#This Row],[Expansión - Barra A - 5.2 - Medio]]+TBL_CalcDarwin[[#This Row],[Expansión - Barra A - 5.2 - Mar]]</f>
        <v>3</v>
      </c>
      <c r="AT9" s="37">
        <f>TBL_CalcDarwin[[#This Row],[Expansión - Barra B - 5.2 - Cerro]]</f>
        <v>3</v>
      </c>
      <c r="AU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9" s="29">
        <f>TBL_CalcDarwin[[#This Row],[Expansión - Barra B - 5.2 - Cerro]]*TBL_CalcDarwin[[#This Row],[AEG 5.2 MW Cerro]]</f>
        <v>0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5">
        <f t="shared" si="0"/>
        <v>45584.333333333321</v>
      </c>
      <c r="C10" s="17">
        <f t="shared" si="1"/>
        <v>0.33333333333333331</v>
      </c>
      <c r="D10" s="34">
        <f>TBL_CalcDarwin[[#This Row],[Darwin PLOM
MW]]+TBL_CalcDarwin[[#This Row],[Darwin PLOME
MW]]</f>
        <v>0</v>
      </c>
      <c r="E10" s="34">
        <f>TBL_CalcDarwin[[#This Row],[PLOM MW TOTAL BARRA A]]+TBL_CalcDarwin[[#This Row],[PLOM MW TOTAL BARRA B]]</f>
        <v>0</v>
      </c>
      <c r="F10" s="34">
        <f>TBL_CalcDarwin[[#This Row],[PLOME MW TOTAL BARRA A]]+TBL_CalcDarwin[[#This Row],[PLOME MW TOTAL BARRA B]]</f>
        <v>0</v>
      </c>
      <c r="G10" s="48">
        <f>'Plantilla Datos'!D15</f>
        <v>1.2</v>
      </c>
      <c r="H10" s="48">
        <f>'Plantilla Datos'!E15</f>
        <v>2.2999999999999998</v>
      </c>
      <c r="I10" s="49">
        <f>'Plantilla Datos'!F15</f>
        <v>16.5</v>
      </c>
      <c r="J10" s="47">
        <f>CEILING('Plantilla Datos'!$L$3*TBL_CalcDarwin[[#This Row],[Darwin Gusts
m/s]],0.5)</f>
        <v>2</v>
      </c>
      <c r="K10" s="47">
        <f>CEILING('Plantilla Datos'!$L$4*TBL_CalcDarwin[[#This Row],[Darwin Gusts
m/s]],0.5)</f>
        <v>2</v>
      </c>
      <c r="L10" s="47">
        <f>CEILING(TBL_CalcDarwin[[#This Row],[Darwin Gusts
m/s]],0.5)</f>
        <v>2.5</v>
      </c>
      <c r="M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0" s="41">
        <f>INDEX(Curva_Temp[Temp],MATCH(TBL_CalcDarwin[[#This Row],[Darwin Temp.
°C]],Curva_Temp[Temp]))</f>
        <v>15</v>
      </c>
      <c r="R10" s="41">
        <f>INDEX(Curva_Temp[Warranted Power Curve for 
1.194Kg/m3 air density '[kW']
SG 5.0-145 (AM+1, 5.2MW) AT 
90M],MATCH(TBL_CalcDarwin[[#This Row],[Darwin Temp.
°C]],Curva_Temp[Temp]))</f>
        <v>5200</v>
      </c>
      <c r="S10" s="41" cm="1">
        <f t="array" ref="S10">INDEX(Curva_Temp[Temp],MATCH(TBL_CalcDarwin[[#This Row],[Darwin Temp.
°C]],Curva_Temp[Temp])+1)</f>
        <v>20</v>
      </c>
      <c r="T10" s="41" cm="1">
        <f t="array" ref="T10">INDEX(Curva_Temp[Warranted Power Curve for 
1.194Kg/m3 air density '[kW']
SG 5.0-145 (AM+1, 5.2MW) AT 
90M],MATCH(TBL_CalcDarwin[[#This Row],[Darwin Temp.
°C]],Curva_Temp[Temp])+1)</f>
        <v>5000</v>
      </c>
      <c r="U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0" s="41">
        <f>INDEX(Curva_Temp[Temp],MATCH(TBL_CalcDarwin[[#This Row],[Darwin Temp.
°C]],Curva_Temp[Temp]))</f>
        <v>15</v>
      </c>
      <c r="Z10" s="41">
        <f>INDEX(Curva_Temp[Warranted Power Curve for 
1.194Kg/m3 air density '[kW']
SG 5.0-145 (AM 0, 5.0MW) AT 
90M],MATCH(TBL_CalcDarwin[[#This Row],[Darwin Temp.
°C]],Curva_Temp[Temp]))</f>
        <v>5000</v>
      </c>
      <c r="AA10" s="41" cm="1">
        <f t="array" ref="AA10">INDEX(Curva_Temp[Temp],MATCH(TBL_CalcDarwin[[#This Row],[Darwin Temp.
°C]],Curva_Temp[Temp])+1)</f>
        <v>20</v>
      </c>
      <c r="AB10" s="41" cm="1">
        <f t="array" ref="AB10">INDEX(Curva_Temp[Warranted Power Curve for 
1.194Kg/m3 air density '[kW']
SG 5.0-145 (AM 0, 5.0MW) AT 
90M],MATCH(TBL_CalcDarwin[[#This Row],[Darwin Temp.
°C]],Curva_Temp[Temp])+1)</f>
        <v>5000</v>
      </c>
      <c r="AC10" s="45">
        <f>HLOOKUP(TBL_CalcDarwin[[#This Row],[Fecha]],'Plantilla AEG ES'!$E$1:$HX$13,2,FALSE)</f>
        <v>6</v>
      </c>
      <c r="AD10" s="45">
        <f>HLOOKUP(TBL_CalcDarwin[[#This Row],[Fecha]],'Plantilla AEG ES'!$E$1:$HX$13,3,FALSE)</f>
        <v>7</v>
      </c>
      <c r="AE10" s="45">
        <f>HLOOKUP(TBL_CalcDarwin[[#This Row],[Fecha]],'Plantilla AEG ES'!$E$1:$HX$13,4,FALSE)</f>
        <v>9</v>
      </c>
      <c r="AF10" s="45">
        <f>HLOOKUP(TBL_CalcDarwin[[#This Row],[Fecha]],'Plantilla AEG ES'!$E$1:$HX$13,5,FALSE)</f>
        <v>2</v>
      </c>
      <c r="AG10" s="45">
        <f>HLOOKUP(TBL_CalcDarwin[[#This Row],[Fecha]],'Plantilla AEG ES'!$E$1:$HX$13,6,FALSE)</f>
        <v>1</v>
      </c>
      <c r="AH10" s="45">
        <f>HLOOKUP(TBL_CalcDarwin[[#This Row],[Fecha]],'Plantilla AEG ES'!$E$1:$HX$13,7,FALSE)</f>
        <v>0</v>
      </c>
      <c r="AI10" s="46">
        <f>HLOOKUP(TBL_CalcDarwin[[#This Row],[Fecha]],'Plantilla AEG ES'!$E$1:$HX$13,8,FALSE)</f>
        <v>0</v>
      </c>
      <c r="AJ10" s="46">
        <f>HLOOKUP(TBL_CalcDarwin[[#This Row],[Fecha]],'Plantilla AEG ES'!$E$1:$HX$13,9,FALSE)</f>
        <v>1</v>
      </c>
      <c r="AK10" s="46">
        <f>HLOOKUP(TBL_CalcDarwin[[#This Row],[Fecha]],'Plantilla AEG ES'!$E$1:$HX$13,10,FALSE)</f>
        <v>12</v>
      </c>
      <c r="AL10" s="46">
        <f>HLOOKUP(TBL_CalcDarwin[[#This Row],[Fecha]],'Plantilla AEG ES'!$E$1:$HX$13,11,FALSE)</f>
        <v>1</v>
      </c>
      <c r="AM10" s="46">
        <f>HLOOKUP(TBL_CalcDarwin[[#This Row],[Fecha]],'Plantilla AEG ES'!$E$1:$HX$13,12,FALSE)</f>
        <v>5</v>
      </c>
      <c r="AN10" s="46">
        <f>HLOOKUP(TBL_CalcDarwin[[#This Row],[Fecha]],'Plantilla AEG ES'!$E$1:$HX$13,13,FALSE)</f>
        <v>3</v>
      </c>
      <c r="AO10" s="37">
        <f>TBL_CalcDarwin[[#This Row],[Lomitas - Barra A - 5.2 - Cerro]]+TBL_CalcDarwin[[#This Row],[Lomitas - Barra A - 5.2 - Medio]]+TBL_CalcDarwin[[#This Row],[Lomitas - Barra A - 5.2 - Mar]]</f>
        <v>22</v>
      </c>
      <c r="AP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0" s="37">
        <f>TBL_CalcDarwin[[#This Row],[Expansión - Barra A - 5.2 - Cerro]]+TBL_CalcDarwin[[#This Row],[Expansión - Barra A - 5.2 - Medio]]+TBL_CalcDarwin[[#This Row],[Expansión - Barra A - 5.2 - Mar]]</f>
        <v>3</v>
      </c>
      <c r="AT10" s="37">
        <f>TBL_CalcDarwin[[#This Row],[Expansión - Barra B - 5.2 - Cerro]]</f>
        <v>3</v>
      </c>
      <c r="AU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0" s="29">
        <f>TBL_CalcDarwin[[#This Row],[Expansión - Barra B - 5.2 - Cerro]]*TBL_CalcDarwin[[#This Row],[AEG 5.2 MW Cerro]]</f>
        <v>0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5">
        <f t="shared" si="0"/>
        <v>45584.374999999985</v>
      </c>
      <c r="C11" s="17">
        <f t="shared" si="1"/>
        <v>0.375</v>
      </c>
      <c r="D11" s="34">
        <f>TBL_CalcDarwin[[#This Row],[Darwin PLOM
MW]]+TBL_CalcDarwin[[#This Row],[Darwin PLOME
MW]]</f>
        <v>3.85</v>
      </c>
      <c r="E11" s="34">
        <f>TBL_CalcDarwin[[#This Row],[PLOM MW TOTAL BARRA A]]+TBL_CalcDarwin[[#This Row],[PLOM MW TOTAL BARRA B]]</f>
        <v>3.7949999999999999</v>
      </c>
      <c r="F11" s="34">
        <f>TBL_CalcDarwin[[#This Row],[PLOME MW TOTAL BARRA A]]+TBL_CalcDarwin[[#This Row],[PLOME MW TOTAL BARRA B]]</f>
        <v>5.5E-2</v>
      </c>
      <c r="G11" s="48">
        <f>'Plantilla Datos'!D16</f>
        <v>1.6</v>
      </c>
      <c r="H11" s="48">
        <f>'Plantilla Datos'!E16</f>
        <v>3.1</v>
      </c>
      <c r="I11" s="49">
        <f>'Plantilla Datos'!F16</f>
        <v>16.8</v>
      </c>
      <c r="J11" s="47">
        <f>CEILING('Plantilla Datos'!$L$3*TBL_CalcDarwin[[#This Row],[Darwin Gusts
m/s]],0.5)</f>
        <v>2.5</v>
      </c>
      <c r="K11" s="47">
        <f>CEILING('Plantilla Datos'!$L$4*TBL_CalcDarwin[[#This Row],[Darwin Gusts
m/s]],0.5)</f>
        <v>3</v>
      </c>
      <c r="L11" s="47">
        <f>CEILING(TBL_CalcDarwin[[#This Row],[Darwin Gusts
m/s]],0.5)</f>
        <v>3.5</v>
      </c>
      <c r="M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1" s="41">
        <f>INDEX(Curva_Temp[Temp],MATCH(TBL_CalcDarwin[[#This Row],[Darwin Temp.
°C]],Curva_Temp[Temp]))</f>
        <v>15</v>
      </c>
      <c r="R11" s="41">
        <f>INDEX(Curva_Temp[Warranted Power Curve for 
1.194Kg/m3 air density '[kW']
SG 5.0-145 (AM+1, 5.2MW) AT 
90M],MATCH(TBL_CalcDarwin[[#This Row],[Darwin Temp.
°C]],Curva_Temp[Temp]))</f>
        <v>5200</v>
      </c>
      <c r="S11" s="41" cm="1">
        <f t="array" ref="S11">INDEX(Curva_Temp[Temp],MATCH(TBL_CalcDarwin[[#This Row],[Darwin Temp.
°C]],Curva_Temp[Temp])+1)</f>
        <v>20</v>
      </c>
      <c r="T11" s="41" cm="1">
        <f t="array" ref="T11">INDEX(Curva_Temp[Warranted Power Curve for 
1.194Kg/m3 air density '[kW']
SG 5.0-145 (AM+1, 5.2MW) AT 
90M],MATCH(TBL_CalcDarwin[[#This Row],[Darwin Temp.
°C]],Curva_Temp[Temp])+1)</f>
        <v>5000</v>
      </c>
      <c r="U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1" s="41">
        <f>INDEX(Curva_Temp[Temp],MATCH(TBL_CalcDarwin[[#This Row],[Darwin Temp.
°C]],Curva_Temp[Temp]))</f>
        <v>15</v>
      </c>
      <c r="Z11" s="41">
        <f>INDEX(Curva_Temp[Warranted Power Curve for 
1.194Kg/m3 air density '[kW']
SG 5.0-145 (AM 0, 5.0MW) AT 
90M],MATCH(TBL_CalcDarwin[[#This Row],[Darwin Temp.
°C]],Curva_Temp[Temp]))</f>
        <v>5000</v>
      </c>
      <c r="AA11" s="41" cm="1">
        <f t="array" ref="AA11">INDEX(Curva_Temp[Temp],MATCH(TBL_CalcDarwin[[#This Row],[Darwin Temp.
°C]],Curva_Temp[Temp])+1)</f>
        <v>20</v>
      </c>
      <c r="AB11" s="41" cm="1">
        <f t="array" ref="AB11">INDEX(Curva_Temp[Warranted Power Curve for 
1.194Kg/m3 air density '[kW']
SG 5.0-145 (AM 0, 5.0MW) AT 
90M],MATCH(TBL_CalcDarwin[[#This Row],[Darwin Temp.
°C]],Curva_Temp[Temp])+1)</f>
        <v>5000</v>
      </c>
      <c r="AC11" s="45">
        <f>HLOOKUP(TBL_CalcDarwin[[#This Row],[Fecha]],'Plantilla AEG ES'!$E$1:$HX$13,2,FALSE)</f>
        <v>6</v>
      </c>
      <c r="AD11" s="45">
        <f>HLOOKUP(TBL_CalcDarwin[[#This Row],[Fecha]],'Plantilla AEG ES'!$E$1:$HX$13,3,FALSE)</f>
        <v>7</v>
      </c>
      <c r="AE11" s="45">
        <f>HLOOKUP(TBL_CalcDarwin[[#This Row],[Fecha]],'Plantilla AEG ES'!$E$1:$HX$13,4,FALSE)</f>
        <v>9</v>
      </c>
      <c r="AF11" s="45">
        <f>HLOOKUP(TBL_CalcDarwin[[#This Row],[Fecha]],'Plantilla AEG ES'!$E$1:$HX$13,5,FALSE)</f>
        <v>2</v>
      </c>
      <c r="AG11" s="45">
        <f>HLOOKUP(TBL_CalcDarwin[[#This Row],[Fecha]],'Plantilla AEG ES'!$E$1:$HX$13,6,FALSE)</f>
        <v>1</v>
      </c>
      <c r="AH11" s="45">
        <f>HLOOKUP(TBL_CalcDarwin[[#This Row],[Fecha]],'Plantilla AEG ES'!$E$1:$HX$13,7,FALSE)</f>
        <v>0</v>
      </c>
      <c r="AI11" s="46">
        <f>HLOOKUP(TBL_CalcDarwin[[#This Row],[Fecha]],'Plantilla AEG ES'!$E$1:$HX$13,8,FALSE)</f>
        <v>0</v>
      </c>
      <c r="AJ11" s="46">
        <f>HLOOKUP(TBL_CalcDarwin[[#This Row],[Fecha]],'Plantilla AEG ES'!$E$1:$HX$13,9,FALSE)</f>
        <v>1</v>
      </c>
      <c r="AK11" s="46">
        <f>HLOOKUP(TBL_CalcDarwin[[#This Row],[Fecha]],'Plantilla AEG ES'!$E$1:$HX$13,10,FALSE)</f>
        <v>12</v>
      </c>
      <c r="AL11" s="46">
        <f>HLOOKUP(TBL_CalcDarwin[[#This Row],[Fecha]],'Plantilla AEG ES'!$E$1:$HX$13,11,FALSE)</f>
        <v>1</v>
      </c>
      <c r="AM11" s="46">
        <f>HLOOKUP(TBL_CalcDarwin[[#This Row],[Fecha]],'Plantilla AEG ES'!$E$1:$HX$13,12,FALSE)</f>
        <v>5</v>
      </c>
      <c r="AN11" s="46">
        <f>HLOOKUP(TBL_CalcDarwin[[#This Row],[Fecha]],'Plantilla AEG ES'!$E$1:$HX$13,13,FALSE)</f>
        <v>3</v>
      </c>
      <c r="AO11" s="37">
        <f>TBL_CalcDarwin[[#This Row],[Lomitas - Barra A - 5.2 - Cerro]]+TBL_CalcDarwin[[#This Row],[Lomitas - Barra A - 5.2 - Medio]]+TBL_CalcDarwin[[#This Row],[Lomitas - Barra A - 5.2 - Mar]]</f>
        <v>22</v>
      </c>
      <c r="AP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1.5549999999999999</v>
      </c>
      <c r="AR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2.2400000000000002</v>
      </c>
      <c r="AS11" s="37">
        <f>TBL_CalcDarwin[[#This Row],[Expansión - Barra A - 5.2 - Cerro]]+TBL_CalcDarwin[[#This Row],[Expansión - Barra A - 5.2 - Medio]]+TBL_CalcDarwin[[#This Row],[Expansión - Barra A - 5.2 - Mar]]</f>
        <v>3</v>
      </c>
      <c r="AT11" s="37">
        <f>TBL_CalcDarwin[[#This Row],[Expansión - Barra B - 5.2 - Cerro]]</f>
        <v>3</v>
      </c>
      <c r="AU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1" s="29">
        <f>TBL_CalcDarwin[[#This Row],[Expansión - Barra B - 5.2 - Cerro]]*TBL_CalcDarwin[[#This Row],[AEG 5.2 MW Cerro]]</f>
        <v>0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5">
        <f t="shared" si="0"/>
        <v>45584.41666666665</v>
      </c>
      <c r="C12" s="17">
        <f t="shared" si="1"/>
        <v>0.41666666666666669</v>
      </c>
      <c r="D12" s="34">
        <f>TBL_CalcDarwin[[#This Row],[Darwin PLOM
MW]]+TBL_CalcDarwin[[#This Row],[Darwin PLOME
MW]]</f>
        <v>3.85</v>
      </c>
      <c r="E12" s="34">
        <f>TBL_CalcDarwin[[#This Row],[PLOM MW TOTAL BARRA A]]+TBL_CalcDarwin[[#This Row],[PLOM MW TOTAL BARRA B]]</f>
        <v>3.7949999999999999</v>
      </c>
      <c r="F12" s="34">
        <f>TBL_CalcDarwin[[#This Row],[PLOME MW TOTAL BARRA A]]+TBL_CalcDarwin[[#This Row],[PLOME MW TOTAL BARRA B]]</f>
        <v>5.5E-2</v>
      </c>
      <c r="G12" s="48">
        <f>'Plantilla Datos'!D17</f>
        <v>1.8</v>
      </c>
      <c r="H12" s="48">
        <f>'Plantilla Datos'!E17</f>
        <v>3.4</v>
      </c>
      <c r="I12" s="49">
        <f>'Plantilla Datos'!F17</f>
        <v>17.2</v>
      </c>
      <c r="J12" s="47">
        <f>CEILING('Plantilla Datos'!$L$3*TBL_CalcDarwin[[#This Row],[Darwin Gusts
m/s]],0.5)</f>
        <v>2.5</v>
      </c>
      <c r="K12" s="47">
        <f>CEILING('Plantilla Datos'!$L$4*TBL_CalcDarwin[[#This Row],[Darwin Gusts
m/s]],0.5)</f>
        <v>3</v>
      </c>
      <c r="L12" s="47">
        <f>CEILING(TBL_CalcDarwin[[#This Row],[Darwin Gusts
m/s]],0.5)</f>
        <v>3.5</v>
      </c>
      <c r="M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2" s="41">
        <f>INDEX(Curva_Temp[Temp],MATCH(TBL_CalcDarwin[[#This Row],[Darwin Temp.
°C]],Curva_Temp[Temp]))</f>
        <v>15</v>
      </c>
      <c r="R12" s="41">
        <f>INDEX(Curva_Temp[Warranted Power Curve for 
1.194Kg/m3 air density '[kW']
SG 5.0-145 (AM+1, 5.2MW) AT 
90M],MATCH(TBL_CalcDarwin[[#This Row],[Darwin Temp.
°C]],Curva_Temp[Temp]))</f>
        <v>5200</v>
      </c>
      <c r="S12" s="41" cm="1">
        <f t="array" ref="S12">INDEX(Curva_Temp[Temp],MATCH(TBL_CalcDarwin[[#This Row],[Darwin Temp.
°C]],Curva_Temp[Temp])+1)</f>
        <v>20</v>
      </c>
      <c r="T12" s="41" cm="1">
        <f t="array" ref="T12">INDEX(Curva_Temp[Warranted Power Curve for 
1.194Kg/m3 air density '[kW']
SG 5.0-145 (AM+1, 5.2MW) AT 
90M],MATCH(TBL_CalcDarwin[[#This Row],[Darwin Temp.
°C]],Curva_Temp[Temp])+1)</f>
        <v>5000</v>
      </c>
      <c r="U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2" s="41">
        <f>INDEX(Curva_Temp[Temp],MATCH(TBL_CalcDarwin[[#This Row],[Darwin Temp.
°C]],Curva_Temp[Temp]))</f>
        <v>15</v>
      </c>
      <c r="Z12" s="41">
        <f>INDEX(Curva_Temp[Warranted Power Curve for 
1.194Kg/m3 air density '[kW']
SG 5.0-145 (AM 0, 5.0MW) AT 
90M],MATCH(TBL_CalcDarwin[[#This Row],[Darwin Temp.
°C]],Curva_Temp[Temp]))</f>
        <v>5000</v>
      </c>
      <c r="AA12" s="41" cm="1">
        <f t="array" ref="AA12">INDEX(Curva_Temp[Temp],MATCH(TBL_CalcDarwin[[#This Row],[Darwin Temp.
°C]],Curva_Temp[Temp])+1)</f>
        <v>20</v>
      </c>
      <c r="AB12" s="41" cm="1">
        <f t="array" ref="AB12">INDEX(Curva_Temp[Warranted Power Curve for 
1.194Kg/m3 air density '[kW']
SG 5.0-145 (AM 0, 5.0MW) AT 
90M],MATCH(TBL_CalcDarwin[[#This Row],[Darwin Temp.
°C]],Curva_Temp[Temp])+1)</f>
        <v>5000</v>
      </c>
      <c r="AC12" s="45">
        <f>HLOOKUP(TBL_CalcDarwin[[#This Row],[Fecha]],'Plantilla AEG ES'!$E$1:$HX$13,2,FALSE)</f>
        <v>6</v>
      </c>
      <c r="AD12" s="45">
        <f>HLOOKUP(TBL_CalcDarwin[[#This Row],[Fecha]],'Plantilla AEG ES'!$E$1:$HX$13,3,FALSE)</f>
        <v>7</v>
      </c>
      <c r="AE12" s="45">
        <f>HLOOKUP(TBL_CalcDarwin[[#This Row],[Fecha]],'Plantilla AEG ES'!$E$1:$HX$13,4,FALSE)</f>
        <v>9</v>
      </c>
      <c r="AF12" s="45">
        <f>HLOOKUP(TBL_CalcDarwin[[#This Row],[Fecha]],'Plantilla AEG ES'!$E$1:$HX$13,5,FALSE)</f>
        <v>2</v>
      </c>
      <c r="AG12" s="45">
        <f>HLOOKUP(TBL_CalcDarwin[[#This Row],[Fecha]],'Plantilla AEG ES'!$E$1:$HX$13,6,FALSE)</f>
        <v>1</v>
      </c>
      <c r="AH12" s="45">
        <f>HLOOKUP(TBL_CalcDarwin[[#This Row],[Fecha]],'Plantilla AEG ES'!$E$1:$HX$13,7,FALSE)</f>
        <v>0</v>
      </c>
      <c r="AI12" s="46">
        <f>HLOOKUP(TBL_CalcDarwin[[#This Row],[Fecha]],'Plantilla AEG ES'!$E$1:$HX$13,8,FALSE)</f>
        <v>0</v>
      </c>
      <c r="AJ12" s="46">
        <f>HLOOKUP(TBL_CalcDarwin[[#This Row],[Fecha]],'Plantilla AEG ES'!$E$1:$HX$13,9,FALSE)</f>
        <v>1</v>
      </c>
      <c r="AK12" s="46">
        <f>HLOOKUP(TBL_CalcDarwin[[#This Row],[Fecha]],'Plantilla AEG ES'!$E$1:$HX$13,10,FALSE)</f>
        <v>12</v>
      </c>
      <c r="AL12" s="46">
        <f>HLOOKUP(TBL_CalcDarwin[[#This Row],[Fecha]],'Plantilla AEG ES'!$E$1:$HX$13,11,FALSE)</f>
        <v>1</v>
      </c>
      <c r="AM12" s="46">
        <f>HLOOKUP(TBL_CalcDarwin[[#This Row],[Fecha]],'Plantilla AEG ES'!$E$1:$HX$13,12,FALSE)</f>
        <v>5</v>
      </c>
      <c r="AN12" s="46">
        <f>HLOOKUP(TBL_CalcDarwin[[#This Row],[Fecha]],'Plantilla AEG ES'!$E$1:$HX$13,13,FALSE)</f>
        <v>3</v>
      </c>
      <c r="AO12" s="37">
        <f>TBL_CalcDarwin[[#This Row],[Lomitas - Barra A - 5.2 - Cerro]]+TBL_CalcDarwin[[#This Row],[Lomitas - Barra A - 5.2 - Medio]]+TBL_CalcDarwin[[#This Row],[Lomitas - Barra A - 5.2 - Mar]]</f>
        <v>22</v>
      </c>
      <c r="AP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1.5549999999999999</v>
      </c>
      <c r="AR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2.2400000000000002</v>
      </c>
      <c r="AS12" s="37">
        <f>TBL_CalcDarwin[[#This Row],[Expansión - Barra A - 5.2 - Cerro]]+TBL_CalcDarwin[[#This Row],[Expansión - Barra A - 5.2 - Medio]]+TBL_CalcDarwin[[#This Row],[Expansión - Barra A - 5.2 - Mar]]</f>
        <v>3</v>
      </c>
      <c r="AT12" s="37">
        <f>TBL_CalcDarwin[[#This Row],[Expansión - Barra B - 5.2 - Cerro]]</f>
        <v>3</v>
      </c>
      <c r="AU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2" s="29">
        <f>TBL_CalcDarwin[[#This Row],[Expansión - Barra B - 5.2 - Cerro]]*TBL_CalcDarwin[[#This Row],[AEG 5.2 MW Cerro]]</f>
        <v>0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5">
        <f t="shared" si="0"/>
        <v>45584.458333333314</v>
      </c>
      <c r="C13" s="17">
        <f t="shared" si="1"/>
        <v>0.45833333333333337</v>
      </c>
      <c r="D13" s="34">
        <f>TBL_CalcDarwin[[#This Row],[Darwin PLOM
MW]]+TBL_CalcDarwin[[#This Row],[Darwin PLOME
MW]]</f>
        <v>8.1169999999999991</v>
      </c>
      <c r="E13" s="34">
        <f>TBL_CalcDarwin[[#This Row],[PLOM MW TOTAL BARRA A]]+TBL_CalcDarwin[[#This Row],[PLOM MW TOTAL BARRA B]]</f>
        <v>7.7119999999999997</v>
      </c>
      <c r="F13" s="34">
        <f>TBL_CalcDarwin[[#This Row],[PLOME MW TOTAL BARRA A]]+TBL_CalcDarwin[[#This Row],[PLOME MW TOTAL BARRA B]]</f>
        <v>0.40500000000000003</v>
      </c>
      <c r="G13" s="48">
        <f>'Plantilla Datos'!D18</f>
        <v>2.2999999999999998</v>
      </c>
      <c r="H13" s="48">
        <f>'Plantilla Datos'!E18</f>
        <v>3.9</v>
      </c>
      <c r="I13" s="49">
        <f>'Plantilla Datos'!F18</f>
        <v>17.399999999999999</v>
      </c>
      <c r="J13" s="47">
        <f>CEILING('Plantilla Datos'!$L$3*TBL_CalcDarwin[[#This Row],[Darwin Gusts
m/s]],0.5)</f>
        <v>3</v>
      </c>
      <c r="K13" s="47">
        <f>CEILING('Plantilla Datos'!$L$4*TBL_CalcDarwin[[#This Row],[Darwin Gusts
m/s]],0.5)</f>
        <v>3.5</v>
      </c>
      <c r="L13" s="47">
        <f>CEILING(TBL_CalcDarwin[[#This Row],[Darwin Gusts
m/s]],0.5)</f>
        <v>4</v>
      </c>
      <c r="M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3" s="41">
        <f>INDEX(Curva_Temp[Temp],MATCH(TBL_CalcDarwin[[#This Row],[Darwin Temp.
°C]],Curva_Temp[Temp]))</f>
        <v>15</v>
      </c>
      <c r="R13" s="41">
        <f>INDEX(Curva_Temp[Warranted Power Curve for 
1.194Kg/m3 air density '[kW']
SG 5.0-145 (AM+1, 5.2MW) AT 
90M],MATCH(TBL_CalcDarwin[[#This Row],[Darwin Temp.
°C]],Curva_Temp[Temp]))</f>
        <v>5200</v>
      </c>
      <c r="S13" s="41" cm="1">
        <f t="array" ref="S13">INDEX(Curva_Temp[Temp],MATCH(TBL_CalcDarwin[[#This Row],[Darwin Temp.
°C]],Curva_Temp[Temp])+1)</f>
        <v>20</v>
      </c>
      <c r="T13" s="41" cm="1">
        <f t="array" ref="T13">INDEX(Curva_Temp[Warranted Power Curve for 
1.194Kg/m3 air density '[kW']
SG 5.0-145 (AM+1, 5.2MW) AT 
90M],MATCH(TBL_CalcDarwin[[#This Row],[Darwin Temp.
°C]],Curva_Temp[Temp])+1)</f>
        <v>5000</v>
      </c>
      <c r="U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3" s="41">
        <f>INDEX(Curva_Temp[Temp],MATCH(TBL_CalcDarwin[[#This Row],[Darwin Temp.
°C]],Curva_Temp[Temp]))</f>
        <v>15</v>
      </c>
      <c r="Z13" s="41">
        <f>INDEX(Curva_Temp[Warranted Power Curve for 
1.194Kg/m3 air density '[kW']
SG 5.0-145 (AM 0, 5.0MW) AT 
90M],MATCH(TBL_CalcDarwin[[#This Row],[Darwin Temp.
°C]],Curva_Temp[Temp]))</f>
        <v>5000</v>
      </c>
      <c r="AA13" s="41" cm="1">
        <f t="array" ref="AA13">INDEX(Curva_Temp[Temp],MATCH(TBL_CalcDarwin[[#This Row],[Darwin Temp.
°C]],Curva_Temp[Temp])+1)</f>
        <v>20</v>
      </c>
      <c r="AB13" s="41" cm="1">
        <f t="array" ref="AB13">INDEX(Curva_Temp[Warranted Power Curve for 
1.194Kg/m3 air density '[kW']
SG 5.0-145 (AM 0, 5.0MW) AT 
90M],MATCH(TBL_CalcDarwin[[#This Row],[Darwin Temp.
°C]],Curva_Temp[Temp])+1)</f>
        <v>5000</v>
      </c>
      <c r="AC13" s="45">
        <f>HLOOKUP(TBL_CalcDarwin[[#This Row],[Fecha]],'Plantilla AEG ES'!$E$1:$HX$13,2,FALSE)</f>
        <v>6</v>
      </c>
      <c r="AD13" s="45">
        <f>HLOOKUP(TBL_CalcDarwin[[#This Row],[Fecha]],'Plantilla AEG ES'!$E$1:$HX$13,3,FALSE)</f>
        <v>7</v>
      </c>
      <c r="AE13" s="45">
        <f>HLOOKUP(TBL_CalcDarwin[[#This Row],[Fecha]],'Plantilla AEG ES'!$E$1:$HX$13,4,FALSE)</f>
        <v>9</v>
      </c>
      <c r="AF13" s="45">
        <f>HLOOKUP(TBL_CalcDarwin[[#This Row],[Fecha]],'Plantilla AEG ES'!$E$1:$HX$13,5,FALSE)</f>
        <v>2</v>
      </c>
      <c r="AG13" s="45">
        <f>HLOOKUP(TBL_CalcDarwin[[#This Row],[Fecha]],'Plantilla AEG ES'!$E$1:$HX$13,6,FALSE)</f>
        <v>1</v>
      </c>
      <c r="AH13" s="45">
        <f>HLOOKUP(TBL_CalcDarwin[[#This Row],[Fecha]],'Plantilla AEG ES'!$E$1:$HX$13,7,FALSE)</f>
        <v>0</v>
      </c>
      <c r="AI13" s="46">
        <f>HLOOKUP(TBL_CalcDarwin[[#This Row],[Fecha]],'Plantilla AEG ES'!$E$1:$HX$13,8,FALSE)</f>
        <v>0</v>
      </c>
      <c r="AJ13" s="46">
        <f>HLOOKUP(TBL_CalcDarwin[[#This Row],[Fecha]],'Plantilla AEG ES'!$E$1:$HX$13,9,FALSE)</f>
        <v>1</v>
      </c>
      <c r="AK13" s="46">
        <f>HLOOKUP(TBL_CalcDarwin[[#This Row],[Fecha]],'Plantilla AEG ES'!$E$1:$HX$13,10,FALSE)</f>
        <v>12</v>
      </c>
      <c r="AL13" s="46">
        <f>HLOOKUP(TBL_CalcDarwin[[#This Row],[Fecha]],'Plantilla AEG ES'!$E$1:$HX$13,11,FALSE)</f>
        <v>1</v>
      </c>
      <c r="AM13" s="46">
        <f>HLOOKUP(TBL_CalcDarwin[[#This Row],[Fecha]],'Plantilla AEG ES'!$E$1:$HX$13,12,FALSE)</f>
        <v>5</v>
      </c>
      <c r="AN13" s="46">
        <f>HLOOKUP(TBL_CalcDarwin[[#This Row],[Fecha]],'Plantilla AEG ES'!$E$1:$HX$13,13,FALSE)</f>
        <v>3</v>
      </c>
      <c r="AO13" s="37">
        <f>TBL_CalcDarwin[[#This Row],[Lomitas - Barra A - 5.2 - Cerro]]+TBL_CalcDarwin[[#This Row],[Lomitas - Barra A - 5.2 - Medio]]+TBL_CalcDarwin[[#This Row],[Lomitas - Barra A - 5.2 - Mar]]</f>
        <v>22</v>
      </c>
      <c r="AP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3.4359999999999999</v>
      </c>
      <c r="AR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4.2759999999999998</v>
      </c>
      <c r="AS13" s="37">
        <f>TBL_CalcDarwin[[#This Row],[Expansión - Barra A - 5.2 - Cerro]]+TBL_CalcDarwin[[#This Row],[Expansión - Barra A - 5.2 - Medio]]+TBL_CalcDarwin[[#This Row],[Expansión - Barra A - 5.2 - Mar]]</f>
        <v>3</v>
      </c>
      <c r="AT13" s="37">
        <f>TBL_CalcDarwin[[#This Row],[Expansión - Barra B - 5.2 - Cerro]]</f>
        <v>3</v>
      </c>
      <c r="AU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</v>
      </c>
      <c r="AV13" s="29">
        <f>TBL_CalcDarwin[[#This Row],[Expansión - Barra B - 5.2 - Cerro]]*TBL_CalcDarwin[[#This Row],[AEG 5.2 MW Cerro]]</f>
        <v>0.16500000000000001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5">
        <f t="shared" si="0"/>
        <v>45584.499999999978</v>
      </c>
      <c r="C14" s="17">
        <f t="shared" si="1"/>
        <v>0.5</v>
      </c>
      <c r="D14" s="34">
        <f>TBL_CalcDarwin[[#This Row],[Darwin PLOM
MW]]+TBL_CalcDarwin[[#This Row],[Darwin PLOME
MW]]</f>
        <v>8.1169999999999991</v>
      </c>
      <c r="E14" s="34">
        <f>TBL_CalcDarwin[[#This Row],[PLOM MW TOTAL BARRA A]]+TBL_CalcDarwin[[#This Row],[PLOM MW TOTAL BARRA B]]</f>
        <v>7.7119999999999997</v>
      </c>
      <c r="F14" s="34">
        <f>TBL_CalcDarwin[[#This Row],[PLOME MW TOTAL BARRA A]]+TBL_CalcDarwin[[#This Row],[PLOME MW TOTAL BARRA B]]</f>
        <v>0.40500000000000003</v>
      </c>
      <c r="G14" s="48">
        <f>'Plantilla Datos'!D19</f>
        <v>2.5</v>
      </c>
      <c r="H14" s="48">
        <f>'Plantilla Datos'!E19</f>
        <v>3.7</v>
      </c>
      <c r="I14" s="49">
        <f>'Plantilla Datos'!F19</f>
        <v>17.399999999999999</v>
      </c>
      <c r="J14" s="47">
        <f>CEILING('Plantilla Datos'!$L$3*TBL_CalcDarwin[[#This Row],[Darwin Gusts
m/s]],0.5)</f>
        <v>3</v>
      </c>
      <c r="K14" s="47">
        <f>CEILING('Plantilla Datos'!$L$4*TBL_CalcDarwin[[#This Row],[Darwin Gusts
m/s]],0.5)</f>
        <v>3.5</v>
      </c>
      <c r="L14" s="47">
        <f>CEILING(TBL_CalcDarwin[[#This Row],[Darwin Gusts
m/s]],0.5)</f>
        <v>4</v>
      </c>
      <c r="M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4" s="41">
        <f>INDEX(Curva_Temp[Temp],MATCH(TBL_CalcDarwin[[#This Row],[Darwin Temp.
°C]],Curva_Temp[Temp]))</f>
        <v>15</v>
      </c>
      <c r="R14" s="41">
        <f>INDEX(Curva_Temp[Warranted Power Curve for 
1.194Kg/m3 air density '[kW']
SG 5.0-145 (AM+1, 5.2MW) AT 
90M],MATCH(TBL_CalcDarwin[[#This Row],[Darwin Temp.
°C]],Curva_Temp[Temp]))</f>
        <v>5200</v>
      </c>
      <c r="S14" s="41" cm="1">
        <f t="array" ref="S14">INDEX(Curva_Temp[Temp],MATCH(TBL_CalcDarwin[[#This Row],[Darwin Temp.
°C]],Curva_Temp[Temp])+1)</f>
        <v>20</v>
      </c>
      <c r="T14" s="41" cm="1">
        <f t="array" ref="T14">INDEX(Curva_Temp[Warranted Power Curve for 
1.194Kg/m3 air density '[kW']
SG 5.0-145 (AM+1, 5.2MW) AT 
90M],MATCH(TBL_CalcDarwin[[#This Row],[Darwin Temp.
°C]],Curva_Temp[Temp])+1)</f>
        <v>5000</v>
      </c>
      <c r="U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4" s="41">
        <f>INDEX(Curva_Temp[Temp],MATCH(TBL_CalcDarwin[[#This Row],[Darwin Temp.
°C]],Curva_Temp[Temp]))</f>
        <v>15</v>
      </c>
      <c r="Z14" s="41">
        <f>INDEX(Curva_Temp[Warranted Power Curve for 
1.194Kg/m3 air density '[kW']
SG 5.0-145 (AM 0, 5.0MW) AT 
90M],MATCH(TBL_CalcDarwin[[#This Row],[Darwin Temp.
°C]],Curva_Temp[Temp]))</f>
        <v>5000</v>
      </c>
      <c r="AA14" s="41" cm="1">
        <f t="array" ref="AA14">INDEX(Curva_Temp[Temp],MATCH(TBL_CalcDarwin[[#This Row],[Darwin Temp.
°C]],Curva_Temp[Temp])+1)</f>
        <v>20</v>
      </c>
      <c r="AB14" s="41" cm="1">
        <f t="array" ref="AB14">INDEX(Curva_Temp[Warranted Power Curve for 
1.194Kg/m3 air density '[kW']
SG 5.0-145 (AM 0, 5.0MW) AT 
90M],MATCH(TBL_CalcDarwin[[#This Row],[Darwin Temp.
°C]],Curva_Temp[Temp])+1)</f>
        <v>5000</v>
      </c>
      <c r="AC14" s="45">
        <f>HLOOKUP(TBL_CalcDarwin[[#This Row],[Fecha]],'Plantilla AEG ES'!$E$1:$HX$13,2,FALSE)</f>
        <v>6</v>
      </c>
      <c r="AD14" s="45">
        <f>HLOOKUP(TBL_CalcDarwin[[#This Row],[Fecha]],'Plantilla AEG ES'!$E$1:$HX$13,3,FALSE)</f>
        <v>7</v>
      </c>
      <c r="AE14" s="45">
        <f>HLOOKUP(TBL_CalcDarwin[[#This Row],[Fecha]],'Plantilla AEG ES'!$E$1:$HX$13,4,FALSE)</f>
        <v>9</v>
      </c>
      <c r="AF14" s="45">
        <f>HLOOKUP(TBL_CalcDarwin[[#This Row],[Fecha]],'Plantilla AEG ES'!$E$1:$HX$13,5,FALSE)</f>
        <v>2</v>
      </c>
      <c r="AG14" s="45">
        <f>HLOOKUP(TBL_CalcDarwin[[#This Row],[Fecha]],'Plantilla AEG ES'!$E$1:$HX$13,6,FALSE)</f>
        <v>1</v>
      </c>
      <c r="AH14" s="45">
        <f>HLOOKUP(TBL_CalcDarwin[[#This Row],[Fecha]],'Plantilla AEG ES'!$E$1:$HX$13,7,FALSE)</f>
        <v>0</v>
      </c>
      <c r="AI14" s="46">
        <f>HLOOKUP(TBL_CalcDarwin[[#This Row],[Fecha]],'Plantilla AEG ES'!$E$1:$HX$13,8,FALSE)</f>
        <v>0</v>
      </c>
      <c r="AJ14" s="46">
        <f>HLOOKUP(TBL_CalcDarwin[[#This Row],[Fecha]],'Plantilla AEG ES'!$E$1:$HX$13,9,FALSE)</f>
        <v>1</v>
      </c>
      <c r="AK14" s="46">
        <f>HLOOKUP(TBL_CalcDarwin[[#This Row],[Fecha]],'Plantilla AEG ES'!$E$1:$HX$13,10,FALSE)</f>
        <v>12</v>
      </c>
      <c r="AL14" s="46">
        <f>HLOOKUP(TBL_CalcDarwin[[#This Row],[Fecha]],'Plantilla AEG ES'!$E$1:$HX$13,11,FALSE)</f>
        <v>1</v>
      </c>
      <c r="AM14" s="46">
        <f>HLOOKUP(TBL_CalcDarwin[[#This Row],[Fecha]],'Plantilla AEG ES'!$E$1:$HX$13,12,FALSE)</f>
        <v>5</v>
      </c>
      <c r="AN14" s="46">
        <f>HLOOKUP(TBL_CalcDarwin[[#This Row],[Fecha]],'Plantilla AEG ES'!$E$1:$HX$13,13,FALSE)</f>
        <v>3</v>
      </c>
      <c r="AO14" s="37">
        <f>TBL_CalcDarwin[[#This Row],[Lomitas - Barra A - 5.2 - Cerro]]+TBL_CalcDarwin[[#This Row],[Lomitas - Barra A - 5.2 - Medio]]+TBL_CalcDarwin[[#This Row],[Lomitas - Barra A - 5.2 - Mar]]</f>
        <v>22</v>
      </c>
      <c r="AP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3.4359999999999999</v>
      </c>
      <c r="AR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4.2759999999999998</v>
      </c>
      <c r="AS14" s="37">
        <f>TBL_CalcDarwin[[#This Row],[Expansión - Barra A - 5.2 - Cerro]]+TBL_CalcDarwin[[#This Row],[Expansión - Barra A - 5.2 - Medio]]+TBL_CalcDarwin[[#This Row],[Expansión - Barra A - 5.2 - Mar]]</f>
        <v>3</v>
      </c>
      <c r="AT14" s="37">
        <f>TBL_CalcDarwin[[#This Row],[Expansión - Barra B - 5.2 - Cerro]]</f>
        <v>3</v>
      </c>
      <c r="AU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</v>
      </c>
      <c r="AV14" s="29">
        <f>TBL_CalcDarwin[[#This Row],[Expansión - Barra B - 5.2 - Cerro]]*TBL_CalcDarwin[[#This Row],[AEG 5.2 MW Cerro]]</f>
        <v>0.16500000000000001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5">
        <f t="shared" si="0"/>
        <v>45584.541666666642</v>
      </c>
      <c r="C15" s="17">
        <f t="shared" si="1"/>
        <v>0.54166666666666663</v>
      </c>
      <c r="D15" s="34">
        <f>TBL_CalcDarwin[[#This Row],[Darwin PLOM
MW]]+TBL_CalcDarwin[[#This Row],[Darwin PLOME
MW]]</f>
        <v>8.1169999999999991</v>
      </c>
      <c r="E15" s="34">
        <f>TBL_CalcDarwin[[#This Row],[PLOM MW TOTAL BARRA A]]+TBL_CalcDarwin[[#This Row],[PLOM MW TOTAL BARRA B]]</f>
        <v>7.7119999999999997</v>
      </c>
      <c r="F15" s="34">
        <f>TBL_CalcDarwin[[#This Row],[PLOME MW TOTAL BARRA A]]+TBL_CalcDarwin[[#This Row],[PLOME MW TOTAL BARRA B]]</f>
        <v>0.40500000000000003</v>
      </c>
      <c r="G15" s="48">
        <f>'Plantilla Datos'!D20</f>
        <v>2.9</v>
      </c>
      <c r="H15" s="48">
        <f>'Plantilla Datos'!E20</f>
        <v>3.9</v>
      </c>
      <c r="I15" s="49">
        <f>'Plantilla Datos'!F20</f>
        <v>17.399999999999999</v>
      </c>
      <c r="J15" s="47">
        <f>CEILING('Plantilla Datos'!$L$3*TBL_CalcDarwin[[#This Row],[Darwin Gusts
m/s]],0.5)</f>
        <v>3</v>
      </c>
      <c r="K15" s="47">
        <f>CEILING('Plantilla Datos'!$L$4*TBL_CalcDarwin[[#This Row],[Darwin Gusts
m/s]],0.5)</f>
        <v>3.5</v>
      </c>
      <c r="L15" s="47">
        <f>CEILING(TBL_CalcDarwin[[#This Row],[Darwin Gusts
m/s]],0.5)</f>
        <v>4</v>
      </c>
      <c r="M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5" s="41">
        <f>INDEX(Curva_Temp[Temp],MATCH(TBL_CalcDarwin[[#This Row],[Darwin Temp.
°C]],Curva_Temp[Temp]))</f>
        <v>15</v>
      </c>
      <c r="R15" s="41">
        <f>INDEX(Curva_Temp[Warranted Power Curve for 
1.194Kg/m3 air density '[kW']
SG 5.0-145 (AM+1, 5.2MW) AT 
90M],MATCH(TBL_CalcDarwin[[#This Row],[Darwin Temp.
°C]],Curva_Temp[Temp]))</f>
        <v>5200</v>
      </c>
      <c r="S15" s="41" cm="1">
        <f t="array" ref="S15">INDEX(Curva_Temp[Temp],MATCH(TBL_CalcDarwin[[#This Row],[Darwin Temp.
°C]],Curva_Temp[Temp])+1)</f>
        <v>20</v>
      </c>
      <c r="T15" s="41" cm="1">
        <f t="array" ref="T15">INDEX(Curva_Temp[Warranted Power Curve for 
1.194Kg/m3 air density '[kW']
SG 5.0-145 (AM+1, 5.2MW) AT 
90M],MATCH(TBL_CalcDarwin[[#This Row],[Darwin Temp.
°C]],Curva_Temp[Temp])+1)</f>
        <v>5000</v>
      </c>
      <c r="U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5" s="41">
        <f>INDEX(Curva_Temp[Temp],MATCH(TBL_CalcDarwin[[#This Row],[Darwin Temp.
°C]],Curva_Temp[Temp]))</f>
        <v>15</v>
      </c>
      <c r="Z15" s="41">
        <f>INDEX(Curva_Temp[Warranted Power Curve for 
1.194Kg/m3 air density '[kW']
SG 5.0-145 (AM 0, 5.0MW) AT 
90M],MATCH(TBL_CalcDarwin[[#This Row],[Darwin Temp.
°C]],Curva_Temp[Temp]))</f>
        <v>5000</v>
      </c>
      <c r="AA15" s="41" cm="1">
        <f t="array" ref="AA15">INDEX(Curva_Temp[Temp],MATCH(TBL_CalcDarwin[[#This Row],[Darwin Temp.
°C]],Curva_Temp[Temp])+1)</f>
        <v>20</v>
      </c>
      <c r="AB15" s="41" cm="1">
        <f t="array" ref="AB15">INDEX(Curva_Temp[Warranted Power Curve for 
1.194Kg/m3 air density '[kW']
SG 5.0-145 (AM 0, 5.0MW) AT 
90M],MATCH(TBL_CalcDarwin[[#This Row],[Darwin Temp.
°C]],Curva_Temp[Temp])+1)</f>
        <v>5000</v>
      </c>
      <c r="AC15" s="45">
        <f>HLOOKUP(TBL_CalcDarwin[[#This Row],[Fecha]],'Plantilla AEG ES'!$E$1:$HX$13,2,FALSE)</f>
        <v>6</v>
      </c>
      <c r="AD15" s="45">
        <f>HLOOKUP(TBL_CalcDarwin[[#This Row],[Fecha]],'Plantilla AEG ES'!$E$1:$HX$13,3,FALSE)</f>
        <v>7</v>
      </c>
      <c r="AE15" s="45">
        <f>HLOOKUP(TBL_CalcDarwin[[#This Row],[Fecha]],'Plantilla AEG ES'!$E$1:$HX$13,4,FALSE)</f>
        <v>9</v>
      </c>
      <c r="AF15" s="45">
        <f>HLOOKUP(TBL_CalcDarwin[[#This Row],[Fecha]],'Plantilla AEG ES'!$E$1:$HX$13,5,FALSE)</f>
        <v>2</v>
      </c>
      <c r="AG15" s="45">
        <f>HLOOKUP(TBL_CalcDarwin[[#This Row],[Fecha]],'Plantilla AEG ES'!$E$1:$HX$13,6,FALSE)</f>
        <v>1</v>
      </c>
      <c r="AH15" s="45">
        <f>HLOOKUP(TBL_CalcDarwin[[#This Row],[Fecha]],'Plantilla AEG ES'!$E$1:$HX$13,7,FALSE)</f>
        <v>0</v>
      </c>
      <c r="AI15" s="46">
        <f>HLOOKUP(TBL_CalcDarwin[[#This Row],[Fecha]],'Plantilla AEG ES'!$E$1:$HX$13,8,FALSE)</f>
        <v>0</v>
      </c>
      <c r="AJ15" s="46">
        <f>HLOOKUP(TBL_CalcDarwin[[#This Row],[Fecha]],'Plantilla AEG ES'!$E$1:$HX$13,9,FALSE)</f>
        <v>1</v>
      </c>
      <c r="AK15" s="46">
        <f>HLOOKUP(TBL_CalcDarwin[[#This Row],[Fecha]],'Plantilla AEG ES'!$E$1:$HX$13,10,FALSE)</f>
        <v>12</v>
      </c>
      <c r="AL15" s="46">
        <f>HLOOKUP(TBL_CalcDarwin[[#This Row],[Fecha]],'Plantilla AEG ES'!$E$1:$HX$13,11,FALSE)</f>
        <v>1</v>
      </c>
      <c r="AM15" s="46">
        <f>HLOOKUP(TBL_CalcDarwin[[#This Row],[Fecha]],'Plantilla AEG ES'!$E$1:$HX$13,12,FALSE)</f>
        <v>5</v>
      </c>
      <c r="AN15" s="46">
        <f>HLOOKUP(TBL_CalcDarwin[[#This Row],[Fecha]],'Plantilla AEG ES'!$E$1:$HX$13,13,FALSE)</f>
        <v>3</v>
      </c>
      <c r="AO15" s="37">
        <f>TBL_CalcDarwin[[#This Row],[Lomitas - Barra A - 5.2 - Cerro]]+TBL_CalcDarwin[[#This Row],[Lomitas - Barra A - 5.2 - Medio]]+TBL_CalcDarwin[[#This Row],[Lomitas - Barra A - 5.2 - Mar]]</f>
        <v>22</v>
      </c>
      <c r="AP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3.4359999999999999</v>
      </c>
      <c r="AR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4.2759999999999998</v>
      </c>
      <c r="AS15" s="37">
        <f>TBL_CalcDarwin[[#This Row],[Expansión - Barra A - 5.2 - Cerro]]+TBL_CalcDarwin[[#This Row],[Expansión - Barra A - 5.2 - Medio]]+TBL_CalcDarwin[[#This Row],[Expansión - Barra A - 5.2 - Mar]]</f>
        <v>3</v>
      </c>
      <c r="AT15" s="37">
        <f>TBL_CalcDarwin[[#This Row],[Expansión - Barra B - 5.2 - Cerro]]</f>
        <v>3</v>
      </c>
      <c r="AU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</v>
      </c>
      <c r="AV15" s="29">
        <f>TBL_CalcDarwin[[#This Row],[Expansión - Barra B - 5.2 - Cerro]]*TBL_CalcDarwin[[#This Row],[AEG 5.2 MW Cerro]]</f>
        <v>0.16500000000000001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5">
        <f t="shared" si="0"/>
        <v>45584.583333333307</v>
      </c>
      <c r="C16" s="17">
        <f t="shared" si="1"/>
        <v>0.58333333333333326</v>
      </c>
      <c r="D16" s="34">
        <f>TBL_CalcDarwin[[#This Row],[Darwin PLOM
MW]]+TBL_CalcDarwin[[#This Row],[Darwin PLOME
MW]]</f>
        <v>17.933</v>
      </c>
      <c r="E16" s="34">
        <f>TBL_CalcDarwin[[#This Row],[PLOM MW TOTAL BARRA A]]+TBL_CalcDarwin[[#This Row],[PLOM MW TOTAL BARRA B]]</f>
        <v>17.039000000000001</v>
      </c>
      <c r="F16" s="34">
        <f>TBL_CalcDarwin[[#This Row],[PLOME MW TOTAL BARRA A]]+TBL_CalcDarwin[[#This Row],[PLOME MW TOTAL BARRA B]]</f>
        <v>0.89400000000000002</v>
      </c>
      <c r="G16" s="48">
        <f>'Plantilla Datos'!D21</f>
        <v>3.5</v>
      </c>
      <c r="H16" s="48">
        <f>'Plantilla Datos'!E21</f>
        <v>4.5999999999999996</v>
      </c>
      <c r="I16" s="49">
        <f>'Plantilla Datos'!F21</f>
        <v>17.2</v>
      </c>
      <c r="J16" s="47">
        <f>CEILING('Plantilla Datos'!$L$3*TBL_CalcDarwin[[#This Row],[Darwin Gusts
m/s]],0.5)</f>
        <v>3.5</v>
      </c>
      <c r="K16" s="47">
        <f>CEILING('Plantilla Datos'!$L$4*TBL_CalcDarwin[[#This Row],[Darwin Gusts
m/s]],0.5)</f>
        <v>4</v>
      </c>
      <c r="L16" s="47">
        <f>CEILING(TBL_CalcDarwin[[#This Row],[Darwin Gusts
m/s]],0.5)</f>
        <v>5</v>
      </c>
      <c r="M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6" s="41">
        <f>INDEX(Curva_Temp[Temp],MATCH(TBL_CalcDarwin[[#This Row],[Darwin Temp.
°C]],Curva_Temp[Temp]))</f>
        <v>15</v>
      </c>
      <c r="R16" s="41">
        <f>INDEX(Curva_Temp[Warranted Power Curve for 
1.194Kg/m3 air density '[kW']
SG 5.0-145 (AM+1, 5.2MW) AT 
90M],MATCH(TBL_CalcDarwin[[#This Row],[Darwin Temp.
°C]],Curva_Temp[Temp]))</f>
        <v>5200</v>
      </c>
      <c r="S16" s="41" cm="1">
        <f t="array" ref="S16">INDEX(Curva_Temp[Temp],MATCH(TBL_CalcDarwin[[#This Row],[Darwin Temp.
°C]],Curva_Temp[Temp])+1)</f>
        <v>20</v>
      </c>
      <c r="T16" s="41" cm="1">
        <f t="array" ref="T16">INDEX(Curva_Temp[Warranted Power Curve for 
1.194Kg/m3 air density '[kW']
SG 5.0-145 (AM+1, 5.2MW) AT 
90M],MATCH(TBL_CalcDarwin[[#This Row],[Darwin Temp.
°C]],Curva_Temp[Temp])+1)</f>
        <v>5000</v>
      </c>
      <c r="U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6" s="41">
        <f>INDEX(Curva_Temp[Temp],MATCH(TBL_CalcDarwin[[#This Row],[Darwin Temp.
°C]],Curva_Temp[Temp]))</f>
        <v>15</v>
      </c>
      <c r="Z16" s="41">
        <f>INDEX(Curva_Temp[Warranted Power Curve for 
1.194Kg/m3 air density '[kW']
SG 5.0-145 (AM 0, 5.0MW) AT 
90M],MATCH(TBL_CalcDarwin[[#This Row],[Darwin Temp.
°C]],Curva_Temp[Temp]))</f>
        <v>5000</v>
      </c>
      <c r="AA16" s="41" cm="1">
        <f t="array" ref="AA16">INDEX(Curva_Temp[Temp],MATCH(TBL_CalcDarwin[[#This Row],[Darwin Temp.
°C]],Curva_Temp[Temp])+1)</f>
        <v>20</v>
      </c>
      <c r="AB16" s="41" cm="1">
        <f t="array" ref="AB16">INDEX(Curva_Temp[Warranted Power Curve for 
1.194Kg/m3 air density '[kW']
SG 5.0-145 (AM 0, 5.0MW) AT 
90M],MATCH(TBL_CalcDarwin[[#This Row],[Darwin Temp.
°C]],Curva_Temp[Temp])+1)</f>
        <v>5000</v>
      </c>
      <c r="AC16" s="45">
        <f>HLOOKUP(TBL_CalcDarwin[[#This Row],[Fecha]],'Plantilla AEG ES'!$E$1:$HX$13,2,FALSE)</f>
        <v>6</v>
      </c>
      <c r="AD16" s="45">
        <f>HLOOKUP(TBL_CalcDarwin[[#This Row],[Fecha]],'Plantilla AEG ES'!$E$1:$HX$13,3,FALSE)</f>
        <v>7</v>
      </c>
      <c r="AE16" s="45">
        <f>HLOOKUP(TBL_CalcDarwin[[#This Row],[Fecha]],'Plantilla AEG ES'!$E$1:$HX$13,4,FALSE)</f>
        <v>9</v>
      </c>
      <c r="AF16" s="45">
        <f>HLOOKUP(TBL_CalcDarwin[[#This Row],[Fecha]],'Plantilla AEG ES'!$E$1:$HX$13,5,FALSE)</f>
        <v>2</v>
      </c>
      <c r="AG16" s="45">
        <f>HLOOKUP(TBL_CalcDarwin[[#This Row],[Fecha]],'Plantilla AEG ES'!$E$1:$HX$13,6,FALSE)</f>
        <v>1</v>
      </c>
      <c r="AH16" s="45">
        <f>HLOOKUP(TBL_CalcDarwin[[#This Row],[Fecha]],'Plantilla AEG ES'!$E$1:$HX$13,7,FALSE)</f>
        <v>0</v>
      </c>
      <c r="AI16" s="46">
        <f>HLOOKUP(TBL_CalcDarwin[[#This Row],[Fecha]],'Plantilla AEG ES'!$E$1:$HX$13,8,FALSE)</f>
        <v>0</v>
      </c>
      <c r="AJ16" s="46">
        <f>HLOOKUP(TBL_CalcDarwin[[#This Row],[Fecha]],'Plantilla AEG ES'!$E$1:$HX$13,9,FALSE)</f>
        <v>1</v>
      </c>
      <c r="AK16" s="46">
        <f>HLOOKUP(TBL_CalcDarwin[[#This Row],[Fecha]],'Plantilla AEG ES'!$E$1:$HX$13,10,FALSE)</f>
        <v>12</v>
      </c>
      <c r="AL16" s="46">
        <f>HLOOKUP(TBL_CalcDarwin[[#This Row],[Fecha]],'Plantilla AEG ES'!$E$1:$HX$13,11,FALSE)</f>
        <v>1</v>
      </c>
      <c r="AM16" s="46">
        <f>HLOOKUP(TBL_CalcDarwin[[#This Row],[Fecha]],'Plantilla AEG ES'!$E$1:$HX$13,12,FALSE)</f>
        <v>5</v>
      </c>
      <c r="AN16" s="46">
        <f>HLOOKUP(TBL_CalcDarwin[[#This Row],[Fecha]],'Plantilla AEG ES'!$E$1:$HX$13,13,FALSE)</f>
        <v>3</v>
      </c>
      <c r="AO16" s="37">
        <f>TBL_CalcDarwin[[#This Row],[Lomitas - Barra A - 5.2 - Cerro]]+TBL_CalcDarwin[[#This Row],[Lomitas - Barra A - 5.2 - Medio]]+TBL_CalcDarwin[[#This Row],[Lomitas - Barra A - 5.2 - Mar]]</f>
        <v>22</v>
      </c>
      <c r="AP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7.4109999999999996</v>
      </c>
      <c r="AR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9.6280000000000001</v>
      </c>
      <c r="AS16" s="37">
        <f>TBL_CalcDarwin[[#This Row],[Expansión - Barra A - 5.2 - Cerro]]+TBL_CalcDarwin[[#This Row],[Expansión - Barra A - 5.2 - Medio]]+TBL_CalcDarwin[[#This Row],[Expansión - Barra A - 5.2 - Mar]]</f>
        <v>3</v>
      </c>
      <c r="AT16" s="37">
        <f>TBL_CalcDarwin[[#This Row],[Expansión - Barra B - 5.2 - Cerro]]</f>
        <v>3</v>
      </c>
      <c r="AU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0.504</v>
      </c>
      <c r="AV16" s="29">
        <f>TBL_CalcDarwin[[#This Row],[Expansión - Barra B - 5.2 - Cerro]]*TBL_CalcDarwin[[#This Row],[AEG 5.2 MW Cerro]]</f>
        <v>0.39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5">
        <f t="shared" si="0"/>
        <v>45584.624999999971</v>
      </c>
      <c r="C17" s="17">
        <f t="shared" si="1"/>
        <v>0.62499999999999989</v>
      </c>
      <c r="D17" s="34">
        <f>TBL_CalcDarwin[[#This Row],[Darwin PLOM
MW]]+TBL_CalcDarwin[[#This Row],[Darwin PLOME
MW]]</f>
        <v>20.536999999999999</v>
      </c>
      <c r="E17" s="34">
        <f>TBL_CalcDarwin[[#This Row],[PLOM MW TOTAL BARRA A]]+TBL_CalcDarwin[[#This Row],[PLOM MW TOTAL BARRA B]]</f>
        <v>18.934999999999999</v>
      </c>
      <c r="F17" s="34">
        <f>TBL_CalcDarwin[[#This Row],[PLOME MW TOTAL BARRA A]]+TBL_CalcDarwin[[#This Row],[PLOME MW TOTAL BARRA B]]</f>
        <v>1.6019999999999999</v>
      </c>
      <c r="G17" s="48">
        <f>'Plantilla Datos'!D22</f>
        <v>3.7</v>
      </c>
      <c r="H17" s="48">
        <f>'Plantilla Datos'!E22</f>
        <v>4.9000000000000004</v>
      </c>
      <c r="I17" s="49">
        <f>'Plantilla Datos'!F22</f>
        <v>17</v>
      </c>
      <c r="J17" s="47">
        <f>CEILING('Plantilla Datos'!$L$3*TBL_CalcDarwin[[#This Row],[Darwin Gusts
m/s]],0.5)</f>
        <v>4</v>
      </c>
      <c r="K17" s="47">
        <f>CEILING('Plantilla Datos'!$L$4*TBL_CalcDarwin[[#This Row],[Darwin Gusts
m/s]],0.5)</f>
        <v>4.5</v>
      </c>
      <c r="L17" s="47">
        <f>CEILING(TBL_CalcDarwin[[#This Row],[Darwin Gusts
m/s]],0.5)</f>
        <v>5</v>
      </c>
      <c r="M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7" s="41">
        <f>INDEX(Curva_Temp[Temp],MATCH(TBL_CalcDarwin[[#This Row],[Darwin Temp.
°C]],Curva_Temp[Temp]))</f>
        <v>15</v>
      </c>
      <c r="R17" s="41">
        <f>INDEX(Curva_Temp[Warranted Power Curve for 
1.194Kg/m3 air density '[kW']
SG 5.0-145 (AM+1, 5.2MW) AT 
90M],MATCH(TBL_CalcDarwin[[#This Row],[Darwin Temp.
°C]],Curva_Temp[Temp]))</f>
        <v>5200</v>
      </c>
      <c r="S17" s="41" cm="1">
        <f t="array" ref="S17">INDEX(Curva_Temp[Temp],MATCH(TBL_CalcDarwin[[#This Row],[Darwin Temp.
°C]],Curva_Temp[Temp])+1)</f>
        <v>20</v>
      </c>
      <c r="T17" s="41" cm="1">
        <f t="array" ref="T17">INDEX(Curva_Temp[Warranted Power Curve for 
1.194Kg/m3 air density '[kW']
SG 5.0-145 (AM+1, 5.2MW) AT 
90M],MATCH(TBL_CalcDarwin[[#This Row],[Darwin Temp.
°C]],Curva_Temp[Temp])+1)</f>
        <v>5000</v>
      </c>
      <c r="U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7" s="41">
        <f>INDEX(Curva_Temp[Temp],MATCH(TBL_CalcDarwin[[#This Row],[Darwin Temp.
°C]],Curva_Temp[Temp]))</f>
        <v>15</v>
      </c>
      <c r="Z17" s="41">
        <f>INDEX(Curva_Temp[Warranted Power Curve for 
1.194Kg/m3 air density '[kW']
SG 5.0-145 (AM 0, 5.0MW) AT 
90M],MATCH(TBL_CalcDarwin[[#This Row],[Darwin Temp.
°C]],Curva_Temp[Temp]))</f>
        <v>5000</v>
      </c>
      <c r="AA17" s="41" cm="1">
        <f t="array" ref="AA17">INDEX(Curva_Temp[Temp],MATCH(TBL_CalcDarwin[[#This Row],[Darwin Temp.
°C]],Curva_Temp[Temp])+1)</f>
        <v>20</v>
      </c>
      <c r="AB17" s="41" cm="1">
        <f t="array" ref="AB17">INDEX(Curva_Temp[Warranted Power Curve for 
1.194Kg/m3 air density '[kW']
SG 5.0-145 (AM 0, 5.0MW) AT 
90M],MATCH(TBL_CalcDarwin[[#This Row],[Darwin Temp.
°C]],Curva_Temp[Temp])+1)</f>
        <v>5000</v>
      </c>
      <c r="AC17" s="45">
        <f>HLOOKUP(TBL_CalcDarwin[[#This Row],[Fecha]],'Plantilla AEG ES'!$E$1:$HX$13,2,FALSE)</f>
        <v>6</v>
      </c>
      <c r="AD17" s="45">
        <f>HLOOKUP(TBL_CalcDarwin[[#This Row],[Fecha]],'Plantilla AEG ES'!$E$1:$HX$13,3,FALSE)</f>
        <v>7</v>
      </c>
      <c r="AE17" s="45">
        <f>HLOOKUP(TBL_CalcDarwin[[#This Row],[Fecha]],'Plantilla AEG ES'!$E$1:$HX$13,4,FALSE)</f>
        <v>9</v>
      </c>
      <c r="AF17" s="45">
        <f>HLOOKUP(TBL_CalcDarwin[[#This Row],[Fecha]],'Plantilla AEG ES'!$E$1:$HX$13,5,FALSE)</f>
        <v>2</v>
      </c>
      <c r="AG17" s="45">
        <f>HLOOKUP(TBL_CalcDarwin[[#This Row],[Fecha]],'Plantilla AEG ES'!$E$1:$HX$13,6,FALSE)</f>
        <v>1</v>
      </c>
      <c r="AH17" s="45">
        <f>HLOOKUP(TBL_CalcDarwin[[#This Row],[Fecha]],'Plantilla AEG ES'!$E$1:$HX$13,7,FALSE)</f>
        <v>0</v>
      </c>
      <c r="AI17" s="46">
        <f>HLOOKUP(TBL_CalcDarwin[[#This Row],[Fecha]],'Plantilla AEG ES'!$E$1:$HX$13,8,FALSE)</f>
        <v>0</v>
      </c>
      <c r="AJ17" s="46">
        <f>HLOOKUP(TBL_CalcDarwin[[#This Row],[Fecha]],'Plantilla AEG ES'!$E$1:$HX$13,9,FALSE)</f>
        <v>1</v>
      </c>
      <c r="AK17" s="46">
        <f>HLOOKUP(TBL_CalcDarwin[[#This Row],[Fecha]],'Plantilla AEG ES'!$E$1:$HX$13,10,FALSE)</f>
        <v>12</v>
      </c>
      <c r="AL17" s="46">
        <f>HLOOKUP(TBL_CalcDarwin[[#This Row],[Fecha]],'Plantilla AEG ES'!$E$1:$HX$13,11,FALSE)</f>
        <v>1</v>
      </c>
      <c r="AM17" s="46">
        <f>HLOOKUP(TBL_CalcDarwin[[#This Row],[Fecha]],'Plantilla AEG ES'!$E$1:$HX$13,12,FALSE)</f>
        <v>5</v>
      </c>
      <c r="AN17" s="46">
        <f>HLOOKUP(TBL_CalcDarwin[[#This Row],[Fecha]],'Plantilla AEG ES'!$E$1:$HX$13,13,FALSE)</f>
        <v>3</v>
      </c>
      <c r="AO17" s="37">
        <f>TBL_CalcDarwin[[#This Row],[Lomitas - Barra A - 5.2 - Cerro]]+TBL_CalcDarwin[[#This Row],[Lomitas - Barra A - 5.2 - Medio]]+TBL_CalcDarwin[[#This Row],[Lomitas - Barra A - 5.2 - Mar]]</f>
        <v>22</v>
      </c>
      <c r="AP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9.0609999999999999</v>
      </c>
      <c r="AR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9.8739999999999988</v>
      </c>
      <c r="AS17" s="37">
        <f>TBL_CalcDarwin[[#This Row],[Expansión - Barra A - 5.2 - Cerro]]+TBL_CalcDarwin[[#This Row],[Expansión - Barra A - 5.2 - Medio]]+TBL_CalcDarwin[[#This Row],[Expansión - Barra A - 5.2 - Mar]]</f>
        <v>3</v>
      </c>
      <c r="AT17" s="37">
        <f>TBL_CalcDarwin[[#This Row],[Expansión - Barra B - 5.2 - Cerro]]</f>
        <v>3</v>
      </c>
      <c r="AU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0.87</v>
      </c>
      <c r="AV17" s="29">
        <f>TBL_CalcDarwin[[#This Row],[Expansión - Barra B - 5.2 - Cerro]]*TBL_CalcDarwin[[#This Row],[AEG 5.2 MW Cerro]]</f>
        <v>0.73199999999999998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5">
        <f t="shared" si="0"/>
        <v>45584.666666666635</v>
      </c>
      <c r="C18" s="17">
        <f t="shared" si="1"/>
        <v>0.66666666666666652</v>
      </c>
      <c r="D18" s="34">
        <f>TBL_CalcDarwin[[#This Row],[Darwin PLOM
MW]]+TBL_CalcDarwin[[#This Row],[Darwin PLOME
MW]]</f>
        <v>20.536999999999999</v>
      </c>
      <c r="E18" s="34">
        <f>TBL_CalcDarwin[[#This Row],[PLOM MW TOTAL BARRA A]]+TBL_CalcDarwin[[#This Row],[PLOM MW TOTAL BARRA B]]</f>
        <v>18.934999999999999</v>
      </c>
      <c r="F18" s="34">
        <f>TBL_CalcDarwin[[#This Row],[PLOME MW TOTAL BARRA A]]+TBL_CalcDarwin[[#This Row],[PLOME MW TOTAL BARRA B]]</f>
        <v>1.6019999999999999</v>
      </c>
      <c r="G18" s="48">
        <f>'Plantilla Datos'!D23</f>
        <v>3.8</v>
      </c>
      <c r="H18" s="48">
        <f>'Plantilla Datos'!E23</f>
        <v>5</v>
      </c>
      <c r="I18" s="49">
        <f>'Plantilla Datos'!F23</f>
        <v>16.899999999999999</v>
      </c>
      <c r="J18" s="47">
        <f>CEILING('Plantilla Datos'!$L$3*TBL_CalcDarwin[[#This Row],[Darwin Gusts
m/s]],0.5)</f>
        <v>4</v>
      </c>
      <c r="K18" s="47">
        <f>CEILING('Plantilla Datos'!$L$4*TBL_CalcDarwin[[#This Row],[Darwin Gusts
m/s]],0.5)</f>
        <v>4.5</v>
      </c>
      <c r="L18" s="47">
        <f>CEILING(TBL_CalcDarwin[[#This Row],[Darwin Gusts
m/s]],0.5)</f>
        <v>5</v>
      </c>
      <c r="M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8" s="41">
        <f>INDEX(Curva_Temp[Temp],MATCH(TBL_CalcDarwin[[#This Row],[Darwin Temp.
°C]],Curva_Temp[Temp]))</f>
        <v>15</v>
      </c>
      <c r="R18" s="41">
        <f>INDEX(Curva_Temp[Warranted Power Curve for 
1.194Kg/m3 air density '[kW']
SG 5.0-145 (AM+1, 5.2MW) AT 
90M],MATCH(TBL_CalcDarwin[[#This Row],[Darwin Temp.
°C]],Curva_Temp[Temp]))</f>
        <v>5200</v>
      </c>
      <c r="S18" s="41" cm="1">
        <f t="array" ref="S18">INDEX(Curva_Temp[Temp],MATCH(TBL_CalcDarwin[[#This Row],[Darwin Temp.
°C]],Curva_Temp[Temp])+1)</f>
        <v>20</v>
      </c>
      <c r="T18" s="41" cm="1">
        <f t="array" ref="T18">INDEX(Curva_Temp[Warranted Power Curve for 
1.194Kg/m3 air density '[kW']
SG 5.0-145 (AM+1, 5.2MW) AT 
90M],MATCH(TBL_CalcDarwin[[#This Row],[Darwin Temp.
°C]],Curva_Temp[Temp])+1)</f>
        <v>5000</v>
      </c>
      <c r="U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8" s="41">
        <f>INDEX(Curva_Temp[Temp],MATCH(TBL_CalcDarwin[[#This Row],[Darwin Temp.
°C]],Curva_Temp[Temp]))</f>
        <v>15</v>
      </c>
      <c r="Z18" s="41">
        <f>INDEX(Curva_Temp[Warranted Power Curve for 
1.194Kg/m3 air density '[kW']
SG 5.0-145 (AM 0, 5.0MW) AT 
90M],MATCH(TBL_CalcDarwin[[#This Row],[Darwin Temp.
°C]],Curva_Temp[Temp]))</f>
        <v>5000</v>
      </c>
      <c r="AA18" s="41" cm="1">
        <f t="array" ref="AA18">INDEX(Curva_Temp[Temp],MATCH(TBL_CalcDarwin[[#This Row],[Darwin Temp.
°C]],Curva_Temp[Temp])+1)</f>
        <v>20</v>
      </c>
      <c r="AB18" s="41" cm="1">
        <f t="array" ref="AB18">INDEX(Curva_Temp[Warranted Power Curve for 
1.194Kg/m3 air density '[kW']
SG 5.0-145 (AM 0, 5.0MW) AT 
90M],MATCH(TBL_CalcDarwin[[#This Row],[Darwin Temp.
°C]],Curva_Temp[Temp])+1)</f>
        <v>5000</v>
      </c>
      <c r="AC18" s="45">
        <f>HLOOKUP(TBL_CalcDarwin[[#This Row],[Fecha]],'Plantilla AEG ES'!$E$1:$HX$13,2,FALSE)</f>
        <v>6</v>
      </c>
      <c r="AD18" s="45">
        <f>HLOOKUP(TBL_CalcDarwin[[#This Row],[Fecha]],'Plantilla AEG ES'!$E$1:$HX$13,3,FALSE)</f>
        <v>7</v>
      </c>
      <c r="AE18" s="45">
        <f>HLOOKUP(TBL_CalcDarwin[[#This Row],[Fecha]],'Plantilla AEG ES'!$E$1:$HX$13,4,FALSE)</f>
        <v>9</v>
      </c>
      <c r="AF18" s="45">
        <f>HLOOKUP(TBL_CalcDarwin[[#This Row],[Fecha]],'Plantilla AEG ES'!$E$1:$HX$13,5,FALSE)</f>
        <v>2</v>
      </c>
      <c r="AG18" s="45">
        <f>HLOOKUP(TBL_CalcDarwin[[#This Row],[Fecha]],'Plantilla AEG ES'!$E$1:$HX$13,6,FALSE)</f>
        <v>1</v>
      </c>
      <c r="AH18" s="45">
        <f>HLOOKUP(TBL_CalcDarwin[[#This Row],[Fecha]],'Plantilla AEG ES'!$E$1:$HX$13,7,FALSE)</f>
        <v>0</v>
      </c>
      <c r="AI18" s="46">
        <f>HLOOKUP(TBL_CalcDarwin[[#This Row],[Fecha]],'Plantilla AEG ES'!$E$1:$HX$13,8,FALSE)</f>
        <v>0</v>
      </c>
      <c r="AJ18" s="46">
        <f>HLOOKUP(TBL_CalcDarwin[[#This Row],[Fecha]],'Plantilla AEG ES'!$E$1:$HX$13,9,FALSE)</f>
        <v>1</v>
      </c>
      <c r="AK18" s="46">
        <f>HLOOKUP(TBL_CalcDarwin[[#This Row],[Fecha]],'Plantilla AEG ES'!$E$1:$HX$13,10,FALSE)</f>
        <v>12</v>
      </c>
      <c r="AL18" s="46">
        <f>HLOOKUP(TBL_CalcDarwin[[#This Row],[Fecha]],'Plantilla AEG ES'!$E$1:$HX$13,11,FALSE)</f>
        <v>1</v>
      </c>
      <c r="AM18" s="46">
        <f>HLOOKUP(TBL_CalcDarwin[[#This Row],[Fecha]],'Plantilla AEG ES'!$E$1:$HX$13,12,FALSE)</f>
        <v>5</v>
      </c>
      <c r="AN18" s="46">
        <f>HLOOKUP(TBL_CalcDarwin[[#This Row],[Fecha]],'Plantilla AEG ES'!$E$1:$HX$13,13,FALSE)</f>
        <v>3</v>
      </c>
      <c r="AO18" s="37">
        <f>TBL_CalcDarwin[[#This Row],[Lomitas - Barra A - 5.2 - Cerro]]+TBL_CalcDarwin[[#This Row],[Lomitas - Barra A - 5.2 - Medio]]+TBL_CalcDarwin[[#This Row],[Lomitas - Barra A - 5.2 - Mar]]</f>
        <v>22</v>
      </c>
      <c r="AP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9.0609999999999999</v>
      </c>
      <c r="AR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9.8739999999999988</v>
      </c>
      <c r="AS18" s="37">
        <f>TBL_CalcDarwin[[#This Row],[Expansión - Barra A - 5.2 - Cerro]]+TBL_CalcDarwin[[#This Row],[Expansión - Barra A - 5.2 - Medio]]+TBL_CalcDarwin[[#This Row],[Expansión - Barra A - 5.2 - Mar]]</f>
        <v>3</v>
      </c>
      <c r="AT18" s="37">
        <f>TBL_CalcDarwin[[#This Row],[Expansión - Barra B - 5.2 - Cerro]]</f>
        <v>3</v>
      </c>
      <c r="AU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0.87</v>
      </c>
      <c r="AV18" s="29">
        <f>TBL_CalcDarwin[[#This Row],[Expansión - Barra B - 5.2 - Cerro]]*TBL_CalcDarwin[[#This Row],[AEG 5.2 MW Cerro]]</f>
        <v>0.73199999999999998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5">
        <f t="shared" si="0"/>
        <v>45584.708333333299</v>
      </c>
      <c r="C19" s="17">
        <f t="shared" si="1"/>
        <v>0.70833333333333315</v>
      </c>
      <c r="D19" s="34">
        <f>TBL_CalcDarwin[[#This Row],[Darwin PLOM
MW]]+TBL_CalcDarwin[[#This Row],[Darwin PLOME
MW]]</f>
        <v>27.19</v>
      </c>
      <c r="E19" s="34">
        <f>TBL_CalcDarwin[[#This Row],[PLOM MW TOTAL BARRA A]]+TBL_CalcDarwin[[#This Row],[PLOM MW TOTAL BARRA B]]</f>
        <v>25.423000000000002</v>
      </c>
      <c r="F19" s="34">
        <f>TBL_CalcDarwin[[#This Row],[PLOME MW TOTAL BARRA A]]+TBL_CalcDarwin[[#This Row],[PLOME MW TOTAL BARRA B]]</f>
        <v>1.7670000000000001</v>
      </c>
      <c r="G19" s="48">
        <f>'Plantilla Datos'!D24</f>
        <v>4.2</v>
      </c>
      <c r="H19" s="48">
        <f>'Plantilla Datos'!E24</f>
        <v>5.4</v>
      </c>
      <c r="I19" s="49">
        <f>'Plantilla Datos'!F24</f>
        <v>16.899999999999999</v>
      </c>
      <c r="J19" s="47">
        <f>CEILING('Plantilla Datos'!$L$3*TBL_CalcDarwin[[#This Row],[Darwin Gusts
m/s]],0.5)</f>
        <v>4</v>
      </c>
      <c r="K19" s="47">
        <f>CEILING('Plantilla Datos'!$L$4*TBL_CalcDarwin[[#This Row],[Darwin Gusts
m/s]],0.5)</f>
        <v>5</v>
      </c>
      <c r="L19" s="47">
        <f>CEILING(TBL_CalcDarwin[[#This Row],[Darwin Gusts
m/s]],0.5)</f>
        <v>5.5</v>
      </c>
      <c r="M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9" s="41">
        <f>INDEX(Curva_Temp[Temp],MATCH(TBL_CalcDarwin[[#This Row],[Darwin Temp.
°C]],Curva_Temp[Temp]))</f>
        <v>15</v>
      </c>
      <c r="R19" s="41">
        <f>INDEX(Curva_Temp[Warranted Power Curve for 
1.194Kg/m3 air density '[kW']
SG 5.0-145 (AM+1, 5.2MW) AT 
90M],MATCH(TBL_CalcDarwin[[#This Row],[Darwin Temp.
°C]],Curva_Temp[Temp]))</f>
        <v>5200</v>
      </c>
      <c r="S19" s="41" cm="1">
        <f t="array" ref="S19">INDEX(Curva_Temp[Temp],MATCH(TBL_CalcDarwin[[#This Row],[Darwin Temp.
°C]],Curva_Temp[Temp])+1)</f>
        <v>20</v>
      </c>
      <c r="T19" s="41" cm="1">
        <f t="array" ref="T19">INDEX(Curva_Temp[Warranted Power Curve for 
1.194Kg/m3 air density '[kW']
SG 5.0-145 (AM+1, 5.2MW) AT 
90M],MATCH(TBL_CalcDarwin[[#This Row],[Darwin Temp.
°C]],Curva_Temp[Temp])+1)</f>
        <v>5000</v>
      </c>
      <c r="U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9" s="41">
        <f>INDEX(Curva_Temp[Temp],MATCH(TBL_CalcDarwin[[#This Row],[Darwin Temp.
°C]],Curva_Temp[Temp]))</f>
        <v>15</v>
      </c>
      <c r="Z19" s="41">
        <f>INDEX(Curva_Temp[Warranted Power Curve for 
1.194Kg/m3 air density '[kW']
SG 5.0-145 (AM 0, 5.0MW) AT 
90M],MATCH(TBL_CalcDarwin[[#This Row],[Darwin Temp.
°C]],Curva_Temp[Temp]))</f>
        <v>5000</v>
      </c>
      <c r="AA19" s="41" cm="1">
        <f t="array" ref="AA19">INDEX(Curva_Temp[Temp],MATCH(TBL_CalcDarwin[[#This Row],[Darwin Temp.
°C]],Curva_Temp[Temp])+1)</f>
        <v>20</v>
      </c>
      <c r="AB19" s="41" cm="1">
        <f t="array" ref="AB19">INDEX(Curva_Temp[Warranted Power Curve for 
1.194Kg/m3 air density '[kW']
SG 5.0-145 (AM 0, 5.0MW) AT 
90M],MATCH(TBL_CalcDarwin[[#This Row],[Darwin Temp.
°C]],Curva_Temp[Temp])+1)</f>
        <v>5000</v>
      </c>
      <c r="AC19" s="45">
        <f>HLOOKUP(TBL_CalcDarwin[[#This Row],[Fecha]],'Plantilla AEG ES'!$E$1:$HX$13,2,FALSE)</f>
        <v>6</v>
      </c>
      <c r="AD19" s="45">
        <f>HLOOKUP(TBL_CalcDarwin[[#This Row],[Fecha]],'Plantilla AEG ES'!$E$1:$HX$13,3,FALSE)</f>
        <v>7</v>
      </c>
      <c r="AE19" s="45">
        <f>HLOOKUP(TBL_CalcDarwin[[#This Row],[Fecha]],'Plantilla AEG ES'!$E$1:$HX$13,4,FALSE)</f>
        <v>9</v>
      </c>
      <c r="AF19" s="45">
        <f>HLOOKUP(TBL_CalcDarwin[[#This Row],[Fecha]],'Plantilla AEG ES'!$E$1:$HX$13,5,FALSE)</f>
        <v>2</v>
      </c>
      <c r="AG19" s="45">
        <f>HLOOKUP(TBL_CalcDarwin[[#This Row],[Fecha]],'Plantilla AEG ES'!$E$1:$HX$13,6,FALSE)</f>
        <v>1</v>
      </c>
      <c r="AH19" s="45">
        <f>HLOOKUP(TBL_CalcDarwin[[#This Row],[Fecha]],'Plantilla AEG ES'!$E$1:$HX$13,7,FALSE)</f>
        <v>0</v>
      </c>
      <c r="AI19" s="46">
        <f>HLOOKUP(TBL_CalcDarwin[[#This Row],[Fecha]],'Plantilla AEG ES'!$E$1:$HX$13,8,FALSE)</f>
        <v>0</v>
      </c>
      <c r="AJ19" s="46">
        <f>HLOOKUP(TBL_CalcDarwin[[#This Row],[Fecha]],'Plantilla AEG ES'!$E$1:$HX$13,9,FALSE)</f>
        <v>1</v>
      </c>
      <c r="AK19" s="46">
        <f>HLOOKUP(TBL_CalcDarwin[[#This Row],[Fecha]],'Plantilla AEG ES'!$E$1:$HX$13,10,FALSE)</f>
        <v>12</v>
      </c>
      <c r="AL19" s="46">
        <f>HLOOKUP(TBL_CalcDarwin[[#This Row],[Fecha]],'Plantilla AEG ES'!$E$1:$HX$13,11,FALSE)</f>
        <v>1</v>
      </c>
      <c r="AM19" s="46">
        <f>HLOOKUP(TBL_CalcDarwin[[#This Row],[Fecha]],'Plantilla AEG ES'!$E$1:$HX$13,12,FALSE)</f>
        <v>5</v>
      </c>
      <c r="AN19" s="46">
        <f>HLOOKUP(TBL_CalcDarwin[[#This Row],[Fecha]],'Plantilla AEG ES'!$E$1:$HX$13,13,FALSE)</f>
        <v>3</v>
      </c>
      <c r="AO19" s="37">
        <f>TBL_CalcDarwin[[#This Row],[Lomitas - Barra A - 5.2 - Cerro]]+TBL_CalcDarwin[[#This Row],[Lomitas - Barra A - 5.2 - Medio]]+TBL_CalcDarwin[[#This Row],[Lomitas - Barra A - 5.2 - Mar]]</f>
        <v>22</v>
      </c>
      <c r="AP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11.998000000000001</v>
      </c>
      <c r="AR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13.425000000000001</v>
      </c>
      <c r="AS19" s="37">
        <f>TBL_CalcDarwin[[#This Row],[Expansión - Barra A - 5.2 - Cerro]]+TBL_CalcDarwin[[#This Row],[Expansión - Barra A - 5.2 - Medio]]+TBL_CalcDarwin[[#This Row],[Expansión - Barra A - 5.2 - Mar]]</f>
        <v>3</v>
      </c>
      <c r="AT19" s="37">
        <f>TBL_CalcDarwin[[#This Row],[Expansión - Barra B - 5.2 - Cerro]]</f>
        <v>3</v>
      </c>
      <c r="AU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1.0350000000000001</v>
      </c>
      <c r="AV19" s="29">
        <f>TBL_CalcDarwin[[#This Row],[Expansión - Barra B - 5.2 - Cerro]]*TBL_CalcDarwin[[#This Row],[AEG 5.2 MW Cerro]]</f>
        <v>0.73199999999999998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5">
        <f t="shared" si="0"/>
        <v>45584.749999999964</v>
      </c>
      <c r="C20" s="17">
        <f t="shared" si="1"/>
        <v>0.74999999999999978</v>
      </c>
      <c r="D20" s="34">
        <f>TBL_CalcDarwin[[#This Row],[Darwin PLOM
MW]]+TBL_CalcDarwin[[#This Row],[Darwin PLOME
MW]]</f>
        <v>44.189</v>
      </c>
      <c r="E20" s="34">
        <f>TBL_CalcDarwin[[#This Row],[PLOM MW TOTAL BARRA A]]+TBL_CalcDarwin[[#This Row],[PLOM MW TOTAL BARRA B]]</f>
        <v>41.533999999999999</v>
      </c>
      <c r="F20" s="34">
        <f>TBL_CalcDarwin[[#This Row],[PLOME MW TOTAL BARRA A]]+TBL_CalcDarwin[[#This Row],[PLOME MW TOTAL BARRA B]]</f>
        <v>2.6549999999999998</v>
      </c>
      <c r="G20" s="48">
        <f>'Plantilla Datos'!D25</f>
        <v>4.8</v>
      </c>
      <c r="H20" s="48">
        <f>'Plantilla Datos'!E25</f>
        <v>6.2</v>
      </c>
      <c r="I20" s="49">
        <f>'Plantilla Datos'!F25</f>
        <v>16.600000000000001</v>
      </c>
      <c r="J20" s="47">
        <f>CEILING('Plantilla Datos'!$L$3*TBL_CalcDarwin[[#This Row],[Darwin Gusts
m/s]],0.5)</f>
        <v>4.5</v>
      </c>
      <c r="K20" s="47">
        <f>CEILING('Plantilla Datos'!$L$4*TBL_CalcDarwin[[#This Row],[Darwin Gusts
m/s]],0.5)</f>
        <v>5.5</v>
      </c>
      <c r="L20" s="47">
        <f>CEILING(TBL_CalcDarwin[[#This Row],[Darwin Gusts
m/s]],0.5)</f>
        <v>6.5</v>
      </c>
      <c r="M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20" s="41">
        <f>INDEX(Curva_Temp[Temp],MATCH(TBL_CalcDarwin[[#This Row],[Darwin Temp.
°C]],Curva_Temp[Temp]))</f>
        <v>15</v>
      </c>
      <c r="R20" s="41">
        <f>INDEX(Curva_Temp[Warranted Power Curve for 
1.194Kg/m3 air density '[kW']
SG 5.0-145 (AM+1, 5.2MW) AT 
90M],MATCH(TBL_CalcDarwin[[#This Row],[Darwin Temp.
°C]],Curva_Temp[Temp]))</f>
        <v>5200</v>
      </c>
      <c r="S20" s="41" cm="1">
        <f t="array" ref="S20">INDEX(Curva_Temp[Temp],MATCH(TBL_CalcDarwin[[#This Row],[Darwin Temp.
°C]],Curva_Temp[Temp])+1)</f>
        <v>20</v>
      </c>
      <c r="T20" s="41" cm="1">
        <f t="array" ref="T20">INDEX(Curva_Temp[Warranted Power Curve for 
1.194Kg/m3 air density '[kW']
SG 5.0-145 (AM+1, 5.2MW) AT 
90M],MATCH(TBL_CalcDarwin[[#This Row],[Darwin Temp.
°C]],Curva_Temp[Temp])+1)</f>
        <v>5000</v>
      </c>
      <c r="U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20" s="41">
        <f>INDEX(Curva_Temp[Temp],MATCH(TBL_CalcDarwin[[#This Row],[Darwin Temp.
°C]],Curva_Temp[Temp]))</f>
        <v>15</v>
      </c>
      <c r="Z20" s="41">
        <f>INDEX(Curva_Temp[Warranted Power Curve for 
1.194Kg/m3 air density '[kW']
SG 5.0-145 (AM 0, 5.0MW) AT 
90M],MATCH(TBL_CalcDarwin[[#This Row],[Darwin Temp.
°C]],Curva_Temp[Temp]))</f>
        <v>5000</v>
      </c>
      <c r="AA20" s="41" cm="1">
        <f t="array" ref="AA20">INDEX(Curva_Temp[Temp],MATCH(TBL_CalcDarwin[[#This Row],[Darwin Temp.
°C]],Curva_Temp[Temp])+1)</f>
        <v>20</v>
      </c>
      <c r="AB20" s="41" cm="1">
        <f t="array" ref="AB20">INDEX(Curva_Temp[Warranted Power Curve for 
1.194Kg/m3 air density '[kW']
SG 5.0-145 (AM 0, 5.0MW) AT 
90M],MATCH(TBL_CalcDarwin[[#This Row],[Darwin Temp.
°C]],Curva_Temp[Temp])+1)</f>
        <v>5000</v>
      </c>
      <c r="AC20" s="45">
        <f>HLOOKUP(TBL_CalcDarwin[[#This Row],[Fecha]],'Plantilla AEG ES'!$E$1:$HX$13,2,FALSE)</f>
        <v>6</v>
      </c>
      <c r="AD20" s="45">
        <f>HLOOKUP(TBL_CalcDarwin[[#This Row],[Fecha]],'Plantilla AEG ES'!$E$1:$HX$13,3,FALSE)</f>
        <v>7</v>
      </c>
      <c r="AE20" s="45">
        <f>HLOOKUP(TBL_CalcDarwin[[#This Row],[Fecha]],'Plantilla AEG ES'!$E$1:$HX$13,4,FALSE)</f>
        <v>9</v>
      </c>
      <c r="AF20" s="45">
        <f>HLOOKUP(TBL_CalcDarwin[[#This Row],[Fecha]],'Plantilla AEG ES'!$E$1:$HX$13,5,FALSE)</f>
        <v>2</v>
      </c>
      <c r="AG20" s="45">
        <f>HLOOKUP(TBL_CalcDarwin[[#This Row],[Fecha]],'Plantilla AEG ES'!$E$1:$HX$13,6,FALSE)</f>
        <v>1</v>
      </c>
      <c r="AH20" s="45">
        <f>HLOOKUP(TBL_CalcDarwin[[#This Row],[Fecha]],'Plantilla AEG ES'!$E$1:$HX$13,7,FALSE)</f>
        <v>0</v>
      </c>
      <c r="AI20" s="46">
        <f>HLOOKUP(TBL_CalcDarwin[[#This Row],[Fecha]],'Plantilla AEG ES'!$E$1:$HX$13,8,FALSE)</f>
        <v>0</v>
      </c>
      <c r="AJ20" s="46">
        <f>HLOOKUP(TBL_CalcDarwin[[#This Row],[Fecha]],'Plantilla AEG ES'!$E$1:$HX$13,9,FALSE)</f>
        <v>1</v>
      </c>
      <c r="AK20" s="46">
        <f>HLOOKUP(TBL_CalcDarwin[[#This Row],[Fecha]],'Plantilla AEG ES'!$E$1:$HX$13,10,FALSE)</f>
        <v>12</v>
      </c>
      <c r="AL20" s="46">
        <f>HLOOKUP(TBL_CalcDarwin[[#This Row],[Fecha]],'Plantilla AEG ES'!$E$1:$HX$13,11,FALSE)</f>
        <v>1</v>
      </c>
      <c r="AM20" s="46">
        <f>HLOOKUP(TBL_CalcDarwin[[#This Row],[Fecha]],'Plantilla AEG ES'!$E$1:$HX$13,12,FALSE)</f>
        <v>5</v>
      </c>
      <c r="AN20" s="46">
        <f>HLOOKUP(TBL_CalcDarwin[[#This Row],[Fecha]],'Plantilla AEG ES'!$E$1:$HX$13,13,FALSE)</f>
        <v>3</v>
      </c>
      <c r="AO20" s="37">
        <f>TBL_CalcDarwin[[#This Row],[Lomitas - Barra A - 5.2 - Cerro]]+TBL_CalcDarwin[[#This Row],[Lomitas - Barra A - 5.2 - Medio]]+TBL_CalcDarwin[[#This Row],[Lomitas - Barra A - 5.2 - Mar]]</f>
        <v>22</v>
      </c>
      <c r="AP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18.901</v>
      </c>
      <c r="AR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22.632999999999999</v>
      </c>
      <c r="AS20" s="37">
        <f>TBL_CalcDarwin[[#This Row],[Expansión - Barra A - 5.2 - Cerro]]+TBL_CalcDarwin[[#This Row],[Expansión - Barra A - 5.2 - Medio]]+TBL_CalcDarwin[[#This Row],[Expansión - Barra A - 5.2 - Mar]]</f>
        <v>3</v>
      </c>
      <c r="AT20" s="37">
        <f>TBL_CalcDarwin[[#This Row],[Expansión - Barra B - 5.2 - Cerro]]</f>
        <v>3</v>
      </c>
      <c r="AU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20" s="29">
        <f>TBL_CalcDarwin[[#This Row],[Expansión - Barra B - 5.2 - Cerro]]*TBL_CalcDarwin[[#This Row],[AEG 5.2 MW Cerro]]</f>
        <v>1.1459999999999999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5">
        <f t="shared" si="0"/>
        <v>45584.791666666628</v>
      </c>
      <c r="C21" s="17">
        <f t="shared" si="1"/>
        <v>0.79166666666666641</v>
      </c>
      <c r="D21" s="34">
        <f>TBL_CalcDarwin[[#This Row],[Darwin PLOM
MW]]+TBL_CalcDarwin[[#This Row],[Darwin PLOME
MW]]</f>
        <v>59.294999999999995</v>
      </c>
      <c r="E21" s="34">
        <f>TBL_CalcDarwin[[#This Row],[PLOM MW TOTAL BARRA A]]+TBL_CalcDarwin[[#This Row],[PLOM MW TOTAL BARRA B]]</f>
        <v>54.586999999999996</v>
      </c>
      <c r="F21" s="34">
        <f>TBL_CalcDarwin[[#This Row],[PLOME MW TOTAL BARRA A]]+TBL_CalcDarwin[[#This Row],[PLOME MW TOTAL BARRA B]]</f>
        <v>4.7080000000000002</v>
      </c>
      <c r="G21" s="48">
        <f>'Plantilla Datos'!D26</f>
        <v>5.5</v>
      </c>
      <c r="H21" s="48">
        <f>'Plantilla Datos'!E26</f>
        <v>7</v>
      </c>
      <c r="I21" s="49">
        <f>'Plantilla Datos'!F26</f>
        <v>16.399999999999999</v>
      </c>
      <c r="J21" s="47">
        <f>CEILING('Plantilla Datos'!$L$3*TBL_CalcDarwin[[#This Row],[Darwin Gusts
m/s]],0.5)</f>
        <v>5.5</v>
      </c>
      <c r="K21" s="47">
        <f>CEILING('Plantilla Datos'!$L$4*TBL_CalcDarwin[[#This Row],[Darwin Gusts
m/s]],0.5)</f>
        <v>6</v>
      </c>
      <c r="L21" s="47">
        <f>CEILING(TBL_CalcDarwin[[#This Row],[Darwin Gusts
m/s]],0.5)</f>
        <v>7</v>
      </c>
      <c r="M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1" s="41">
        <f>INDEX(Curva_Temp[Temp],MATCH(TBL_CalcDarwin[[#This Row],[Darwin Temp.
°C]],Curva_Temp[Temp]))</f>
        <v>15</v>
      </c>
      <c r="R21" s="41">
        <f>INDEX(Curva_Temp[Warranted Power Curve for 
1.194Kg/m3 air density '[kW']
SG 5.0-145 (AM+1, 5.2MW) AT 
90M],MATCH(TBL_CalcDarwin[[#This Row],[Darwin Temp.
°C]],Curva_Temp[Temp]))</f>
        <v>5200</v>
      </c>
      <c r="S21" s="41" cm="1">
        <f t="array" ref="S21">INDEX(Curva_Temp[Temp],MATCH(TBL_CalcDarwin[[#This Row],[Darwin Temp.
°C]],Curva_Temp[Temp])+1)</f>
        <v>20</v>
      </c>
      <c r="T21" s="41" cm="1">
        <f t="array" ref="T21">INDEX(Curva_Temp[Warranted Power Curve for 
1.194Kg/m3 air density '[kW']
SG 5.0-145 (AM+1, 5.2MW) AT 
90M],MATCH(TBL_CalcDarwin[[#This Row],[Darwin Temp.
°C]],Curva_Temp[Temp])+1)</f>
        <v>5000</v>
      </c>
      <c r="U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1" s="41">
        <f>INDEX(Curva_Temp[Temp],MATCH(TBL_CalcDarwin[[#This Row],[Darwin Temp.
°C]],Curva_Temp[Temp]))</f>
        <v>15</v>
      </c>
      <c r="Z21" s="41">
        <f>INDEX(Curva_Temp[Warranted Power Curve for 
1.194Kg/m3 air density '[kW']
SG 5.0-145 (AM 0, 5.0MW) AT 
90M],MATCH(TBL_CalcDarwin[[#This Row],[Darwin Temp.
°C]],Curva_Temp[Temp]))</f>
        <v>5000</v>
      </c>
      <c r="AA21" s="41" cm="1">
        <f t="array" ref="AA21">INDEX(Curva_Temp[Temp],MATCH(TBL_CalcDarwin[[#This Row],[Darwin Temp.
°C]],Curva_Temp[Temp])+1)</f>
        <v>20</v>
      </c>
      <c r="AB21" s="41" cm="1">
        <f t="array" ref="AB21">INDEX(Curva_Temp[Warranted Power Curve for 
1.194Kg/m3 air density '[kW']
SG 5.0-145 (AM 0, 5.0MW) AT 
90M],MATCH(TBL_CalcDarwin[[#This Row],[Darwin Temp.
°C]],Curva_Temp[Temp])+1)</f>
        <v>5000</v>
      </c>
      <c r="AC21" s="45">
        <f>HLOOKUP(TBL_CalcDarwin[[#This Row],[Fecha]],'Plantilla AEG ES'!$E$1:$HX$13,2,FALSE)</f>
        <v>6</v>
      </c>
      <c r="AD21" s="45">
        <f>HLOOKUP(TBL_CalcDarwin[[#This Row],[Fecha]],'Plantilla AEG ES'!$E$1:$HX$13,3,FALSE)</f>
        <v>7</v>
      </c>
      <c r="AE21" s="45">
        <f>HLOOKUP(TBL_CalcDarwin[[#This Row],[Fecha]],'Plantilla AEG ES'!$E$1:$HX$13,4,FALSE)</f>
        <v>9</v>
      </c>
      <c r="AF21" s="45">
        <f>HLOOKUP(TBL_CalcDarwin[[#This Row],[Fecha]],'Plantilla AEG ES'!$E$1:$HX$13,5,FALSE)</f>
        <v>2</v>
      </c>
      <c r="AG21" s="45">
        <f>HLOOKUP(TBL_CalcDarwin[[#This Row],[Fecha]],'Plantilla AEG ES'!$E$1:$HX$13,6,FALSE)</f>
        <v>1</v>
      </c>
      <c r="AH21" s="45">
        <f>HLOOKUP(TBL_CalcDarwin[[#This Row],[Fecha]],'Plantilla AEG ES'!$E$1:$HX$13,7,FALSE)</f>
        <v>0</v>
      </c>
      <c r="AI21" s="46">
        <f>HLOOKUP(TBL_CalcDarwin[[#This Row],[Fecha]],'Plantilla AEG ES'!$E$1:$HX$13,8,FALSE)</f>
        <v>0</v>
      </c>
      <c r="AJ21" s="46">
        <f>HLOOKUP(TBL_CalcDarwin[[#This Row],[Fecha]],'Plantilla AEG ES'!$E$1:$HX$13,9,FALSE)</f>
        <v>1</v>
      </c>
      <c r="AK21" s="46">
        <f>HLOOKUP(TBL_CalcDarwin[[#This Row],[Fecha]],'Plantilla AEG ES'!$E$1:$HX$13,10,FALSE)</f>
        <v>12</v>
      </c>
      <c r="AL21" s="46">
        <f>HLOOKUP(TBL_CalcDarwin[[#This Row],[Fecha]],'Plantilla AEG ES'!$E$1:$HX$13,11,FALSE)</f>
        <v>1</v>
      </c>
      <c r="AM21" s="46">
        <f>HLOOKUP(TBL_CalcDarwin[[#This Row],[Fecha]],'Plantilla AEG ES'!$E$1:$HX$13,12,FALSE)</f>
        <v>5</v>
      </c>
      <c r="AN21" s="46">
        <f>HLOOKUP(TBL_CalcDarwin[[#This Row],[Fecha]],'Plantilla AEG ES'!$E$1:$HX$13,13,FALSE)</f>
        <v>3</v>
      </c>
      <c r="AO21" s="37">
        <f>TBL_CalcDarwin[[#This Row],[Lomitas - Barra A - 5.2 - Cerro]]+TBL_CalcDarwin[[#This Row],[Lomitas - Barra A - 5.2 - Medio]]+TBL_CalcDarwin[[#This Row],[Lomitas - Barra A - 5.2 - Mar]]</f>
        <v>22</v>
      </c>
      <c r="AP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25.723999999999997</v>
      </c>
      <c r="AR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28.863</v>
      </c>
      <c r="AS21" s="37">
        <f>TBL_CalcDarwin[[#This Row],[Expansión - Barra A - 5.2 - Cerro]]+TBL_CalcDarwin[[#This Row],[Expansión - Barra A - 5.2 - Medio]]+TBL_CalcDarwin[[#This Row],[Expansión - Barra A - 5.2 - Mar]]</f>
        <v>3</v>
      </c>
      <c r="AT21" s="37">
        <f>TBL_CalcDarwin[[#This Row],[Expansión - Barra B - 5.2 - Cerro]]</f>
        <v>3</v>
      </c>
      <c r="AU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2.4729999999999999</v>
      </c>
      <c r="AV21" s="29">
        <f>TBL_CalcDarwin[[#This Row],[Expansión - Barra B - 5.2 - Cerro]]*TBL_CalcDarwin[[#This Row],[AEG 5.2 MW Cerro]]</f>
        <v>2.2349999999999999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5">
        <f t="shared" si="0"/>
        <v>45584.833333333292</v>
      </c>
      <c r="C22" s="17">
        <f t="shared" si="1"/>
        <v>0.83333333333333304</v>
      </c>
      <c r="D22" s="34">
        <f>TBL_CalcDarwin[[#This Row],[Darwin PLOM
MW]]+TBL_CalcDarwin[[#This Row],[Darwin PLOME
MW]]</f>
        <v>48.314000000000007</v>
      </c>
      <c r="E22" s="34">
        <f>TBL_CalcDarwin[[#This Row],[PLOM MW TOTAL BARRA A]]+TBL_CalcDarwin[[#This Row],[PLOM MW TOTAL BARRA B]]</f>
        <v>44.596000000000004</v>
      </c>
      <c r="F22" s="34">
        <f>TBL_CalcDarwin[[#This Row],[PLOME MW TOTAL BARRA A]]+TBL_CalcDarwin[[#This Row],[PLOME MW TOTAL BARRA B]]</f>
        <v>3.718</v>
      </c>
      <c r="G22" s="48">
        <f>'Plantilla Datos'!D27</f>
        <v>5.0999999999999996</v>
      </c>
      <c r="H22" s="48">
        <f>'Plantilla Datos'!E27</f>
        <v>6.5</v>
      </c>
      <c r="I22" s="49">
        <f>'Plantilla Datos'!F27</f>
        <v>16.600000000000001</v>
      </c>
      <c r="J22" s="47">
        <f>CEILING('Plantilla Datos'!$L$3*TBL_CalcDarwin[[#This Row],[Darwin Gusts
m/s]],0.5)</f>
        <v>5</v>
      </c>
      <c r="K22" s="47">
        <f>CEILING('Plantilla Datos'!$L$4*TBL_CalcDarwin[[#This Row],[Darwin Gusts
m/s]],0.5)</f>
        <v>6</v>
      </c>
      <c r="L22" s="47">
        <f>CEILING(TBL_CalcDarwin[[#This Row],[Darwin Gusts
m/s]],0.5)</f>
        <v>6.5</v>
      </c>
      <c r="M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22" s="41">
        <f>INDEX(Curva_Temp[Temp],MATCH(TBL_CalcDarwin[[#This Row],[Darwin Temp.
°C]],Curva_Temp[Temp]))</f>
        <v>15</v>
      </c>
      <c r="R22" s="41">
        <f>INDEX(Curva_Temp[Warranted Power Curve for 
1.194Kg/m3 air density '[kW']
SG 5.0-145 (AM+1, 5.2MW) AT 
90M],MATCH(TBL_CalcDarwin[[#This Row],[Darwin Temp.
°C]],Curva_Temp[Temp]))</f>
        <v>5200</v>
      </c>
      <c r="S22" s="41" cm="1">
        <f t="array" ref="S22">INDEX(Curva_Temp[Temp],MATCH(TBL_CalcDarwin[[#This Row],[Darwin Temp.
°C]],Curva_Temp[Temp])+1)</f>
        <v>20</v>
      </c>
      <c r="T22" s="41" cm="1">
        <f t="array" ref="T22">INDEX(Curva_Temp[Warranted Power Curve for 
1.194Kg/m3 air density '[kW']
SG 5.0-145 (AM+1, 5.2MW) AT 
90M],MATCH(TBL_CalcDarwin[[#This Row],[Darwin Temp.
°C]],Curva_Temp[Temp])+1)</f>
        <v>5000</v>
      </c>
      <c r="U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22" s="41">
        <f>INDEX(Curva_Temp[Temp],MATCH(TBL_CalcDarwin[[#This Row],[Darwin Temp.
°C]],Curva_Temp[Temp]))</f>
        <v>15</v>
      </c>
      <c r="Z22" s="41">
        <f>INDEX(Curva_Temp[Warranted Power Curve for 
1.194Kg/m3 air density '[kW']
SG 5.0-145 (AM 0, 5.0MW) AT 
90M],MATCH(TBL_CalcDarwin[[#This Row],[Darwin Temp.
°C]],Curva_Temp[Temp]))</f>
        <v>5000</v>
      </c>
      <c r="AA22" s="41" cm="1">
        <f t="array" ref="AA22">INDEX(Curva_Temp[Temp],MATCH(TBL_CalcDarwin[[#This Row],[Darwin Temp.
°C]],Curva_Temp[Temp])+1)</f>
        <v>20</v>
      </c>
      <c r="AB22" s="41" cm="1">
        <f t="array" ref="AB22">INDEX(Curva_Temp[Warranted Power Curve for 
1.194Kg/m3 air density '[kW']
SG 5.0-145 (AM 0, 5.0MW) AT 
90M],MATCH(TBL_CalcDarwin[[#This Row],[Darwin Temp.
°C]],Curva_Temp[Temp])+1)</f>
        <v>5000</v>
      </c>
      <c r="AC22" s="45">
        <f>HLOOKUP(TBL_CalcDarwin[[#This Row],[Fecha]],'Plantilla AEG ES'!$E$1:$HX$13,2,FALSE)</f>
        <v>6</v>
      </c>
      <c r="AD22" s="45">
        <f>HLOOKUP(TBL_CalcDarwin[[#This Row],[Fecha]],'Plantilla AEG ES'!$E$1:$HX$13,3,FALSE)</f>
        <v>7</v>
      </c>
      <c r="AE22" s="45">
        <f>HLOOKUP(TBL_CalcDarwin[[#This Row],[Fecha]],'Plantilla AEG ES'!$E$1:$HX$13,4,FALSE)</f>
        <v>9</v>
      </c>
      <c r="AF22" s="45">
        <f>HLOOKUP(TBL_CalcDarwin[[#This Row],[Fecha]],'Plantilla AEG ES'!$E$1:$HX$13,5,FALSE)</f>
        <v>2</v>
      </c>
      <c r="AG22" s="45">
        <f>HLOOKUP(TBL_CalcDarwin[[#This Row],[Fecha]],'Plantilla AEG ES'!$E$1:$HX$13,6,FALSE)</f>
        <v>1</v>
      </c>
      <c r="AH22" s="45">
        <f>HLOOKUP(TBL_CalcDarwin[[#This Row],[Fecha]],'Plantilla AEG ES'!$E$1:$HX$13,7,FALSE)</f>
        <v>0</v>
      </c>
      <c r="AI22" s="46">
        <f>HLOOKUP(TBL_CalcDarwin[[#This Row],[Fecha]],'Plantilla AEG ES'!$E$1:$HX$13,8,FALSE)</f>
        <v>0</v>
      </c>
      <c r="AJ22" s="46">
        <f>HLOOKUP(TBL_CalcDarwin[[#This Row],[Fecha]],'Plantilla AEG ES'!$E$1:$HX$13,9,FALSE)</f>
        <v>1</v>
      </c>
      <c r="AK22" s="46">
        <f>HLOOKUP(TBL_CalcDarwin[[#This Row],[Fecha]],'Plantilla AEG ES'!$E$1:$HX$13,10,FALSE)</f>
        <v>12</v>
      </c>
      <c r="AL22" s="46">
        <f>HLOOKUP(TBL_CalcDarwin[[#This Row],[Fecha]],'Plantilla AEG ES'!$E$1:$HX$13,11,FALSE)</f>
        <v>1</v>
      </c>
      <c r="AM22" s="46">
        <f>HLOOKUP(TBL_CalcDarwin[[#This Row],[Fecha]],'Plantilla AEG ES'!$E$1:$HX$13,12,FALSE)</f>
        <v>5</v>
      </c>
      <c r="AN22" s="46">
        <f>HLOOKUP(TBL_CalcDarwin[[#This Row],[Fecha]],'Plantilla AEG ES'!$E$1:$HX$13,13,FALSE)</f>
        <v>3</v>
      </c>
      <c r="AO22" s="37">
        <f>TBL_CalcDarwin[[#This Row],[Lomitas - Barra A - 5.2 - Cerro]]+TBL_CalcDarwin[[#This Row],[Lomitas - Barra A - 5.2 - Medio]]+TBL_CalcDarwin[[#This Row],[Lomitas - Barra A - 5.2 - Mar]]</f>
        <v>22</v>
      </c>
      <c r="AP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21.557000000000002</v>
      </c>
      <c r="AR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23.039000000000001</v>
      </c>
      <c r="AS22" s="37">
        <f>TBL_CalcDarwin[[#This Row],[Expansión - Barra A - 5.2 - Cerro]]+TBL_CalcDarwin[[#This Row],[Expansión - Barra A - 5.2 - Medio]]+TBL_CalcDarwin[[#This Row],[Expansión - Barra A - 5.2 - Mar]]</f>
        <v>3</v>
      </c>
      <c r="AT22" s="37">
        <f>TBL_CalcDarwin[[#This Row],[Expansión - Barra B - 5.2 - Cerro]]</f>
        <v>3</v>
      </c>
      <c r="AU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22" s="29">
        <f>TBL_CalcDarwin[[#This Row],[Expansión - Barra B - 5.2 - Cerro]]*TBL_CalcDarwin[[#This Row],[AEG 5.2 MW Cerro]]</f>
        <v>1.641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5">
        <f t="shared" si="0"/>
        <v>45584.874999999956</v>
      </c>
      <c r="C23" s="17">
        <f>C22+TIME(1,0,0)</f>
        <v>0.87499999999999967</v>
      </c>
      <c r="D23" s="34">
        <f>TBL_CalcDarwin[[#This Row],[Darwin PLOM
MW]]+TBL_CalcDarwin[[#This Row],[Darwin PLOME
MW]]</f>
        <v>36.831000000000003</v>
      </c>
      <c r="E23" s="34">
        <f>TBL_CalcDarwin[[#This Row],[PLOM MW TOTAL BARRA A]]+TBL_CalcDarwin[[#This Row],[PLOM MW TOTAL BARRA B]]</f>
        <v>34.176000000000002</v>
      </c>
      <c r="F23" s="34">
        <f>TBL_CalcDarwin[[#This Row],[PLOME MW TOTAL BARRA A]]+TBL_CalcDarwin[[#This Row],[PLOME MW TOTAL BARRA B]]</f>
        <v>2.6549999999999998</v>
      </c>
      <c r="G23" s="48">
        <f>'Plantilla Datos'!D28</f>
        <v>4.7</v>
      </c>
      <c r="H23" s="48">
        <f>'Plantilla Datos'!E28</f>
        <v>6</v>
      </c>
      <c r="I23" s="49">
        <f>'Plantilla Datos'!F28</f>
        <v>16.7</v>
      </c>
      <c r="J23" s="47">
        <f>CEILING('Plantilla Datos'!$L$3*TBL_CalcDarwin[[#This Row],[Darwin Gusts
m/s]],0.5)</f>
        <v>4.5</v>
      </c>
      <c r="K23" s="47">
        <f>CEILING('Plantilla Datos'!$L$4*TBL_CalcDarwin[[#This Row],[Darwin Gusts
m/s]],0.5)</f>
        <v>5.5</v>
      </c>
      <c r="L23" s="47">
        <f>CEILING(TBL_CalcDarwin[[#This Row],[Darwin Gusts
m/s]],0.5)</f>
        <v>6</v>
      </c>
      <c r="M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23" s="41">
        <f>INDEX(Curva_Temp[Temp],MATCH(TBL_CalcDarwin[[#This Row],[Darwin Temp.
°C]],Curva_Temp[Temp]))</f>
        <v>15</v>
      </c>
      <c r="R23" s="41">
        <f>INDEX(Curva_Temp[Warranted Power Curve for 
1.194Kg/m3 air density '[kW']
SG 5.0-145 (AM+1, 5.2MW) AT 
90M],MATCH(TBL_CalcDarwin[[#This Row],[Darwin Temp.
°C]],Curva_Temp[Temp]))</f>
        <v>5200</v>
      </c>
      <c r="S23" s="41" cm="1">
        <f t="array" ref="S23">INDEX(Curva_Temp[Temp],MATCH(TBL_CalcDarwin[[#This Row],[Darwin Temp.
°C]],Curva_Temp[Temp])+1)</f>
        <v>20</v>
      </c>
      <c r="T23" s="41" cm="1">
        <f t="array" ref="T23">INDEX(Curva_Temp[Warranted Power Curve for 
1.194Kg/m3 air density '[kW']
SG 5.0-145 (AM+1, 5.2MW) AT 
90M],MATCH(TBL_CalcDarwin[[#This Row],[Darwin Temp.
°C]],Curva_Temp[Temp])+1)</f>
        <v>5000</v>
      </c>
      <c r="U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23" s="41">
        <f>INDEX(Curva_Temp[Temp],MATCH(TBL_CalcDarwin[[#This Row],[Darwin Temp.
°C]],Curva_Temp[Temp]))</f>
        <v>15</v>
      </c>
      <c r="Z23" s="41">
        <f>INDEX(Curva_Temp[Warranted Power Curve for 
1.194Kg/m3 air density '[kW']
SG 5.0-145 (AM 0, 5.0MW) AT 
90M],MATCH(TBL_CalcDarwin[[#This Row],[Darwin Temp.
°C]],Curva_Temp[Temp]))</f>
        <v>5000</v>
      </c>
      <c r="AA23" s="41" cm="1">
        <f t="array" ref="AA23">INDEX(Curva_Temp[Temp],MATCH(TBL_CalcDarwin[[#This Row],[Darwin Temp.
°C]],Curva_Temp[Temp])+1)</f>
        <v>20</v>
      </c>
      <c r="AB23" s="41" cm="1">
        <f t="array" ref="AB23">INDEX(Curva_Temp[Warranted Power Curve for 
1.194Kg/m3 air density '[kW']
SG 5.0-145 (AM 0, 5.0MW) AT 
90M],MATCH(TBL_CalcDarwin[[#This Row],[Darwin Temp.
°C]],Curva_Temp[Temp])+1)</f>
        <v>5000</v>
      </c>
      <c r="AC23" s="45">
        <f>HLOOKUP(TBL_CalcDarwin[[#This Row],[Fecha]],'Plantilla AEG ES'!$E$1:$HX$13,2,FALSE)</f>
        <v>6</v>
      </c>
      <c r="AD23" s="45">
        <f>HLOOKUP(TBL_CalcDarwin[[#This Row],[Fecha]],'Plantilla AEG ES'!$E$1:$HX$13,3,FALSE)</f>
        <v>7</v>
      </c>
      <c r="AE23" s="45">
        <f>HLOOKUP(TBL_CalcDarwin[[#This Row],[Fecha]],'Plantilla AEG ES'!$E$1:$HX$13,4,FALSE)</f>
        <v>9</v>
      </c>
      <c r="AF23" s="45">
        <f>HLOOKUP(TBL_CalcDarwin[[#This Row],[Fecha]],'Plantilla AEG ES'!$E$1:$HX$13,5,FALSE)</f>
        <v>2</v>
      </c>
      <c r="AG23" s="45">
        <f>HLOOKUP(TBL_CalcDarwin[[#This Row],[Fecha]],'Plantilla AEG ES'!$E$1:$HX$13,6,FALSE)</f>
        <v>1</v>
      </c>
      <c r="AH23" s="45">
        <f>HLOOKUP(TBL_CalcDarwin[[#This Row],[Fecha]],'Plantilla AEG ES'!$E$1:$HX$13,7,FALSE)</f>
        <v>0</v>
      </c>
      <c r="AI23" s="46">
        <f>HLOOKUP(TBL_CalcDarwin[[#This Row],[Fecha]],'Plantilla AEG ES'!$E$1:$HX$13,8,FALSE)</f>
        <v>0</v>
      </c>
      <c r="AJ23" s="46">
        <f>HLOOKUP(TBL_CalcDarwin[[#This Row],[Fecha]],'Plantilla AEG ES'!$E$1:$HX$13,9,FALSE)</f>
        <v>1</v>
      </c>
      <c r="AK23" s="46">
        <f>HLOOKUP(TBL_CalcDarwin[[#This Row],[Fecha]],'Plantilla AEG ES'!$E$1:$HX$13,10,FALSE)</f>
        <v>12</v>
      </c>
      <c r="AL23" s="46">
        <f>HLOOKUP(TBL_CalcDarwin[[#This Row],[Fecha]],'Plantilla AEG ES'!$E$1:$HX$13,11,FALSE)</f>
        <v>1</v>
      </c>
      <c r="AM23" s="46">
        <f>HLOOKUP(TBL_CalcDarwin[[#This Row],[Fecha]],'Plantilla AEG ES'!$E$1:$HX$13,12,FALSE)</f>
        <v>5</v>
      </c>
      <c r="AN23" s="46">
        <f>HLOOKUP(TBL_CalcDarwin[[#This Row],[Fecha]],'Plantilla AEG ES'!$E$1:$HX$13,13,FALSE)</f>
        <v>3</v>
      </c>
      <c r="AO23" s="37">
        <f>TBL_CalcDarwin[[#This Row],[Lomitas - Barra A - 5.2 - Cerro]]+TBL_CalcDarwin[[#This Row],[Lomitas - Barra A - 5.2 - Medio]]+TBL_CalcDarwin[[#This Row],[Lomitas - Barra A - 5.2 - Mar]]</f>
        <v>22</v>
      </c>
      <c r="AP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16.353999999999999</v>
      </c>
      <c r="AR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17.821999999999999</v>
      </c>
      <c r="AS23" s="37">
        <f>TBL_CalcDarwin[[#This Row],[Expansión - Barra A - 5.2 - Cerro]]+TBL_CalcDarwin[[#This Row],[Expansión - Barra A - 5.2 - Medio]]+TBL_CalcDarwin[[#This Row],[Expansión - Barra A - 5.2 - Mar]]</f>
        <v>3</v>
      </c>
      <c r="AT23" s="37">
        <f>TBL_CalcDarwin[[#This Row],[Expansión - Barra B - 5.2 - Cerro]]</f>
        <v>3</v>
      </c>
      <c r="AU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23" s="29">
        <f>TBL_CalcDarwin[[#This Row],[Expansión - Barra B - 5.2 - Cerro]]*TBL_CalcDarwin[[#This Row],[AEG 5.2 MW Cerro]]</f>
        <v>1.1459999999999999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5">
        <f t="shared" si="0"/>
        <v>45584.916666666621</v>
      </c>
      <c r="C24" s="17">
        <f t="shared" ref="C24:C28" si="2">C23+TIME(1,0,0)</f>
        <v>0.9166666666666663</v>
      </c>
      <c r="D24" s="34">
        <f>TBL_CalcDarwin[[#This Row],[Darwin PLOM
MW]]+TBL_CalcDarwin[[#This Row],[Darwin PLOME
MW]]</f>
        <v>35.048999999999999</v>
      </c>
      <c r="E24" s="34">
        <f>TBL_CalcDarwin[[#This Row],[PLOM MW TOTAL BARRA A]]+TBL_CalcDarwin[[#This Row],[PLOM MW TOTAL BARRA B]]</f>
        <v>32.591999999999999</v>
      </c>
      <c r="F24" s="34">
        <f>TBL_CalcDarwin[[#This Row],[PLOME MW TOTAL BARRA A]]+TBL_CalcDarwin[[#This Row],[PLOME MW TOTAL BARRA B]]</f>
        <v>2.4569999999999999</v>
      </c>
      <c r="G24" s="48">
        <f>'Plantilla Datos'!D29</f>
        <v>4.3</v>
      </c>
      <c r="H24" s="48">
        <f>'Plantilla Datos'!E29</f>
        <v>5.6</v>
      </c>
      <c r="I24" s="49">
        <f>'Plantilla Datos'!F29</f>
        <v>16.899999999999999</v>
      </c>
      <c r="J24" s="47">
        <f>CEILING('Plantilla Datos'!$L$3*TBL_CalcDarwin[[#This Row],[Darwin Gusts
m/s]],0.5)</f>
        <v>4.5</v>
      </c>
      <c r="K24" s="47">
        <f>CEILING('Plantilla Datos'!$L$4*TBL_CalcDarwin[[#This Row],[Darwin Gusts
m/s]],0.5)</f>
        <v>5</v>
      </c>
      <c r="L24" s="47">
        <f>CEILING(TBL_CalcDarwin[[#This Row],[Darwin Gusts
m/s]],0.5)</f>
        <v>6</v>
      </c>
      <c r="M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24" s="41">
        <f>INDEX(Curva_Temp[Temp],MATCH(TBL_CalcDarwin[[#This Row],[Darwin Temp.
°C]],Curva_Temp[Temp]))</f>
        <v>15</v>
      </c>
      <c r="R24" s="41">
        <f>INDEX(Curva_Temp[Warranted Power Curve for 
1.194Kg/m3 air density '[kW']
SG 5.0-145 (AM+1, 5.2MW) AT 
90M],MATCH(TBL_CalcDarwin[[#This Row],[Darwin Temp.
°C]],Curva_Temp[Temp]))</f>
        <v>5200</v>
      </c>
      <c r="S24" s="41" cm="1">
        <f t="array" ref="S24">INDEX(Curva_Temp[Temp],MATCH(TBL_CalcDarwin[[#This Row],[Darwin Temp.
°C]],Curva_Temp[Temp])+1)</f>
        <v>20</v>
      </c>
      <c r="T24" s="41" cm="1">
        <f t="array" ref="T24">INDEX(Curva_Temp[Warranted Power Curve for 
1.194Kg/m3 air density '[kW']
SG 5.0-145 (AM+1, 5.2MW) AT 
90M],MATCH(TBL_CalcDarwin[[#This Row],[Darwin Temp.
°C]],Curva_Temp[Temp])+1)</f>
        <v>5000</v>
      </c>
      <c r="U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24" s="41">
        <f>INDEX(Curva_Temp[Temp],MATCH(TBL_CalcDarwin[[#This Row],[Darwin Temp.
°C]],Curva_Temp[Temp]))</f>
        <v>15</v>
      </c>
      <c r="Z24" s="41">
        <f>INDEX(Curva_Temp[Warranted Power Curve for 
1.194Kg/m3 air density '[kW']
SG 5.0-145 (AM 0, 5.0MW) AT 
90M],MATCH(TBL_CalcDarwin[[#This Row],[Darwin Temp.
°C]],Curva_Temp[Temp]))</f>
        <v>5000</v>
      </c>
      <c r="AA24" s="41" cm="1">
        <f t="array" ref="AA24">INDEX(Curva_Temp[Temp],MATCH(TBL_CalcDarwin[[#This Row],[Darwin Temp.
°C]],Curva_Temp[Temp])+1)</f>
        <v>20</v>
      </c>
      <c r="AB24" s="41" cm="1">
        <f t="array" ref="AB24">INDEX(Curva_Temp[Warranted Power Curve for 
1.194Kg/m3 air density '[kW']
SG 5.0-145 (AM 0, 5.0MW) AT 
90M],MATCH(TBL_CalcDarwin[[#This Row],[Darwin Temp.
°C]],Curva_Temp[Temp])+1)</f>
        <v>5000</v>
      </c>
      <c r="AC24" s="45">
        <f>HLOOKUP(TBL_CalcDarwin[[#This Row],[Fecha]],'Plantilla AEG ES'!$E$1:$HX$13,2,FALSE)</f>
        <v>6</v>
      </c>
      <c r="AD24" s="45">
        <f>HLOOKUP(TBL_CalcDarwin[[#This Row],[Fecha]],'Plantilla AEG ES'!$E$1:$HX$13,3,FALSE)</f>
        <v>7</v>
      </c>
      <c r="AE24" s="45">
        <f>HLOOKUP(TBL_CalcDarwin[[#This Row],[Fecha]],'Plantilla AEG ES'!$E$1:$HX$13,4,FALSE)</f>
        <v>9</v>
      </c>
      <c r="AF24" s="45">
        <f>HLOOKUP(TBL_CalcDarwin[[#This Row],[Fecha]],'Plantilla AEG ES'!$E$1:$HX$13,5,FALSE)</f>
        <v>2</v>
      </c>
      <c r="AG24" s="45">
        <f>HLOOKUP(TBL_CalcDarwin[[#This Row],[Fecha]],'Plantilla AEG ES'!$E$1:$HX$13,6,FALSE)</f>
        <v>1</v>
      </c>
      <c r="AH24" s="45">
        <f>HLOOKUP(TBL_CalcDarwin[[#This Row],[Fecha]],'Plantilla AEG ES'!$E$1:$HX$13,7,FALSE)</f>
        <v>0</v>
      </c>
      <c r="AI24" s="46">
        <f>HLOOKUP(TBL_CalcDarwin[[#This Row],[Fecha]],'Plantilla AEG ES'!$E$1:$HX$13,8,FALSE)</f>
        <v>0</v>
      </c>
      <c r="AJ24" s="46">
        <f>HLOOKUP(TBL_CalcDarwin[[#This Row],[Fecha]],'Plantilla AEG ES'!$E$1:$HX$13,9,FALSE)</f>
        <v>1</v>
      </c>
      <c r="AK24" s="46">
        <f>HLOOKUP(TBL_CalcDarwin[[#This Row],[Fecha]],'Plantilla AEG ES'!$E$1:$HX$13,10,FALSE)</f>
        <v>12</v>
      </c>
      <c r="AL24" s="46">
        <f>HLOOKUP(TBL_CalcDarwin[[#This Row],[Fecha]],'Plantilla AEG ES'!$E$1:$HX$13,11,FALSE)</f>
        <v>1</v>
      </c>
      <c r="AM24" s="46">
        <f>HLOOKUP(TBL_CalcDarwin[[#This Row],[Fecha]],'Plantilla AEG ES'!$E$1:$HX$13,12,FALSE)</f>
        <v>5</v>
      </c>
      <c r="AN24" s="46">
        <f>HLOOKUP(TBL_CalcDarwin[[#This Row],[Fecha]],'Plantilla AEG ES'!$E$1:$HX$13,13,FALSE)</f>
        <v>3</v>
      </c>
      <c r="AO24" s="37">
        <f>TBL_CalcDarwin[[#This Row],[Lomitas - Barra A - 5.2 - Cerro]]+TBL_CalcDarwin[[#This Row],[Lomitas - Barra A - 5.2 - Medio]]+TBL_CalcDarwin[[#This Row],[Lomitas - Barra A - 5.2 - Mar]]</f>
        <v>22</v>
      </c>
      <c r="AP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14.968</v>
      </c>
      <c r="AR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17.624000000000002</v>
      </c>
      <c r="AS24" s="37">
        <f>TBL_CalcDarwin[[#This Row],[Expansión - Barra A - 5.2 - Cerro]]+TBL_CalcDarwin[[#This Row],[Expansión - Barra A - 5.2 - Medio]]+TBL_CalcDarwin[[#This Row],[Expansión - Barra A - 5.2 - Mar]]</f>
        <v>3</v>
      </c>
      <c r="AT24" s="37">
        <f>TBL_CalcDarwin[[#This Row],[Expansión - Barra B - 5.2 - Cerro]]</f>
        <v>3</v>
      </c>
      <c r="AU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1.3109999999999999</v>
      </c>
      <c r="AV24" s="29">
        <f>TBL_CalcDarwin[[#This Row],[Expansión - Barra B - 5.2 - Cerro]]*TBL_CalcDarwin[[#This Row],[AEG 5.2 MW Cerro]]</f>
        <v>1.1459999999999999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5">
        <f t="shared" si="0"/>
        <v>45584.958333333285</v>
      </c>
      <c r="C25" s="17">
        <f t="shared" si="2"/>
        <v>0.95833333333333293</v>
      </c>
      <c r="D25" s="34">
        <f>TBL_CalcDarwin[[#This Row],[Darwin PLOM
MW]]+TBL_CalcDarwin[[#This Row],[Darwin PLOME
MW]]</f>
        <v>27.19</v>
      </c>
      <c r="E25" s="34">
        <f>TBL_CalcDarwin[[#This Row],[PLOM MW TOTAL BARRA A]]+TBL_CalcDarwin[[#This Row],[PLOM MW TOTAL BARRA B]]</f>
        <v>25.423000000000002</v>
      </c>
      <c r="F25" s="34">
        <f>TBL_CalcDarwin[[#This Row],[PLOME MW TOTAL BARRA A]]+TBL_CalcDarwin[[#This Row],[PLOME MW TOTAL BARRA B]]</f>
        <v>1.7670000000000001</v>
      </c>
      <c r="G25" s="48">
        <f>'Plantilla Datos'!D30</f>
        <v>4.3</v>
      </c>
      <c r="H25" s="48">
        <f>'Plantilla Datos'!E30</f>
        <v>5.5</v>
      </c>
      <c r="I25" s="49">
        <f>'Plantilla Datos'!F30</f>
        <v>16.7</v>
      </c>
      <c r="J25" s="47">
        <f>CEILING('Plantilla Datos'!$L$3*TBL_CalcDarwin[[#This Row],[Darwin Gusts
m/s]],0.5)</f>
        <v>4</v>
      </c>
      <c r="K25" s="47">
        <f>CEILING('Plantilla Datos'!$L$4*TBL_CalcDarwin[[#This Row],[Darwin Gusts
m/s]],0.5)</f>
        <v>5</v>
      </c>
      <c r="L25" s="47">
        <f>CEILING(TBL_CalcDarwin[[#This Row],[Darwin Gusts
m/s]],0.5)</f>
        <v>5.5</v>
      </c>
      <c r="M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25" s="41">
        <f>INDEX(Curva_Temp[Temp],MATCH(TBL_CalcDarwin[[#This Row],[Darwin Temp.
°C]],Curva_Temp[Temp]))</f>
        <v>15</v>
      </c>
      <c r="R25" s="41">
        <f>INDEX(Curva_Temp[Warranted Power Curve for 
1.194Kg/m3 air density '[kW']
SG 5.0-145 (AM+1, 5.2MW) AT 
90M],MATCH(TBL_CalcDarwin[[#This Row],[Darwin Temp.
°C]],Curva_Temp[Temp]))</f>
        <v>5200</v>
      </c>
      <c r="S25" s="41" cm="1">
        <f t="array" ref="S25">INDEX(Curva_Temp[Temp],MATCH(TBL_CalcDarwin[[#This Row],[Darwin Temp.
°C]],Curva_Temp[Temp])+1)</f>
        <v>20</v>
      </c>
      <c r="T25" s="41" cm="1">
        <f t="array" ref="T25">INDEX(Curva_Temp[Warranted Power Curve for 
1.194Kg/m3 air density '[kW']
SG 5.0-145 (AM+1, 5.2MW) AT 
90M],MATCH(TBL_CalcDarwin[[#This Row],[Darwin Temp.
°C]],Curva_Temp[Temp])+1)</f>
        <v>5000</v>
      </c>
      <c r="U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25" s="41">
        <f>INDEX(Curva_Temp[Temp],MATCH(TBL_CalcDarwin[[#This Row],[Darwin Temp.
°C]],Curva_Temp[Temp]))</f>
        <v>15</v>
      </c>
      <c r="Z25" s="41">
        <f>INDEX(Curva_Temp[Warranted Power Curve for 
1.194Kg/m3 air density '[kW']
SG 5.0-145 (AM 0, 5.0MW) AT 
90M],MATCH(TBL_CalcDarwin[[#This Row],[Darwin Temp.
°C]],Curva_Temp[Temp]))</f>
        <v>5000</v>
      </c>
      <c r="AA25" s="41" cm="1">
        <f t="array" ref="AA25">INDEX(Curva_Temp[Temp],MATCH(TBL_CalcDarwin[[#This Row],[Darwin Temp.
°C]],Curva_Temp[Temp])+1)</f>
        <v>20</v>
      </c>
      <c r="AB25" s="41" cm="1">
        <f t="array" ref="AB25">INDEX(Curva_Temp[Warranted Power Curve for 
1.194Kg/m3 air density '[kW']
SG 5.0-145 (AM 0, 5.0MW) AT 
90M],MATCH(TBL_CalcDarwin[[#This Row],[Darwin Temp.
°C]],Curva_Temp[Temp])+1)</f>
        <v>5000</v>
      </c>
      <c r="AC25" s="45">
        <f>HLOOKUP(TBL_CalcDarwin[[#This Row],[Fecha]],'Plantilla AEG ES'!$E$1:$HX$13,2,FALSE)</f>
        <v>6</v>
      </c>
      <c r="AD25" s="45">
        <f>HLOOKUP(TBL_CalcDarwin[[#This Row],[Fecha]],'Plantilla AEG ES'!$E$1:$HX$13,3,FALSE)</f>
        <v>7</v>
      </c>
      <c r="AE25" s="45">
        <f>HLOOKUP(TBL_CalcDarwin[[#This Row],[Fecha]],'Plantilla AEG ES'!$E$1:$HX$13,4,FALSE)</f>
        <v>9</v>
      </c>
      <c r="AF25" s="45">
        <f>HLOOKUP(TBL_CalcDarwin[[#This Row],[Fecha]],'Plantilla AEG ES'!$E$1:$HX$13,5,FALSE)</f>
        <v>2</v>
      </c>
      <c r="AG25" s="45">
        <f>HLOOKUP(TBL_CalcDarwin[[#This Row],[Fecha]],'Plantilla AEG ES'!$E$1:$HX$13,6,FALSE)</f>
        <v>1</v>
      </c>
      <c r="AH25" s="45">
        <f>HLOOKUP(TBL_CalcDarwin[[#This Row],[Fecha]],'Plantilla AEG ES'!$E$1:$HX$13,7,FALSE)</f>
        <v>0</v>
      </c>
      <c r="AI25" s="46">
        <f>HLOOKUP(TBL_CalcDarwin[[#This Row],[Fecha]],'Plantilla AEG ES'!$E$1:$HX$13,8,FALSE)</f>
        <v>0</v>
      </c>
      <c r="AJ25" s="46">
        <f>HLOOKUP(TBL_CalcDarwin[[#This Row],[Fecha]],'Plantilla AEG ES'!$E$1:$HX$13,9,FALSE)</f>
        <v>1</v>
      </c>
      <c r="AK25" s="46">
        <f>HLOOKUP(TBL_CalcDarwin[[#This Row],[Fecha]],'Plantilla AEG ES'!$E$1:$HX$13,10,FALSE)</f>
        <v>12</v>
      </c>
      <c r="AL25" s="46">
        <f>HLOOKUP(TBL_CalcDarwin[[#This Row],[Fecha]],'Plantilla AEG ES'!$E$1:$HX$13,11,FALSE)</f>
        <v>1</v>
      </c>
      <c r="AM25" s="46">
        <f>HLOOKUP(TBL_CalcDarwin[[#This Row],[Fecha]],'Plantilla AEG ES'!$E$1:$HX$13,12,FALSE)</f>
        <v>5</v>
      </c>
      <c r="AN25" s="46">
        <f>HLOOKUP(TBL_CalcDarwin[[#This Row],[Fecha]],'Plantilla AEG ES'!$E$1:$HX$13,13,FALSE)</f>
        <v>3</v>
      </c>
      <c r="AO25" s="37">
        <f>TBL_CalcDarwin[[#This Row],[Lomitas - Barra A - 5.2 - Cerro]]+TBL_CalcDarwin[[#This Row],[Lomitas - Barra A - 5.2 - Medio]]+TBL_CalcDarwin[[#This Row],[Lomitas - Barra A - 5.2 - Mar]]</f>
        <v>22</v>
      </c>
      <c r="AP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11.998000000000001</v>
      </c>
      <c r="AR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13.425000000000001</v>
      </c>
      <c r="AS25" s="37">
        <f>TBL_CalcDarwin[[#This Row],[Expansión - Barra A - 5.2 - Cerro]]+TBL_CalcDarwin[[#This Row],[Expansión - Barra A - 5.2 - Medio]]+TBL_CalcDarwin[[#This Row],[Expansión - Barra A - 5.2 - Mar]]</f>
        <v>3</v>
      </c>
      <c r="AT25" s="37">
        <f>TBL_CalcDarwin[[#This Row],[Expansión - Barra B - 5.2 - Cerro]]</f>
        <v>3</v>
      </c>
      <c r="AU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1.0350000000000001</v>
      </c>
      <c r="AV25" s="29">
        <f>TBL_CalcDarwin[[#This Row],[Expansión - Barra B - 5.2 - Cerro]]*TBL_CalcDarwin[[#This Row],[AEG 5.2 MW Cerro]]</f>
        <v>0.73199999999999998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5">
        <f t="shared" si="0"/>
        <v>45584.999999999949</v>
      </c>
      <c r="C26" s="17">
        <f t="shared" si="2"/>
        <v>0.99999999999999956</v>
      </c>
      <c r="D26" s="34">
        <f>TBL_CalcDarwin[[#This Row],[Darwin PLOM
MW]]+TBL_CalcDarwin[[#This Row],[Darwin PLOME
MW]]</f>
        <v>27.19</v>
      </c>
      <c r="E26" s="34">
        <f>TBL_CalcDarwin[[#This Row],[PLOM MW TOTAL BARRA A]]+TBL_CalcDarwin[[#This Row],[PLOM MW TOTAL BARRA B]]</f>
        <v>25.423000000000002</v>
      </c>
      <c r="F26" s="34">
        <f>TBL_CalcDarwin[[#This Row],[PLOME MW TOTAL BARRA A]]+TBL_CalcDarwin[[#This Row],[PLOME MW TOTAL BARRA B]]</f>
        <v>1.7670000000000001</v>
      </c>
      <c r="G26" s="48">
        <f>'Plantilla Datos'!D31</f>
        <v>4.2</v>
      </c>
      <c r="H26" s="48">
        <f>'Plantilla Datos'!E31</f>
        <v>5.5</v>
      </c>
      <c r="I26" s="49">
        <f>'Plantilla Datos'!F31</f>
        <v>16.600000000000001</v>
      </c>
      <c r="J26" s="47">
        <f>CEILING('Plantilla Datos'!$L$3*TBL_CalcDarwin[[#This Row],[Darwin Gusts
m/s]],0.5)</f>
        <v>4</v>
      </c>
      <c r="K26" s="47">
        <f>CEILING('Plantilla Datos'!$L$4*TBL_CalcDarwin[[#This Row],[Darwin Gusts
m/s]],0.5)</f>
        <v>5</v>
      </c>
      <c r="L26" s="47">
        <f>CEILING(TBL_CalcDarwin[[#This Row],[Darwin Gusts
m/s]],0.5)</f>
        <v>5.5</v>
      </c>
      <c r="M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26" s="41">
        <f>INDEX(Curva_Temp[Temp],MATCH(TBL_CalcDarwin[[#This Row],[Darwin Temp.
°C]],Curva_Temp[Temp]))</f>
        <v>15</v>
      </c>
      <c r="R26" s="41">
        <f>INDEX(Curva_Temp[Warranted Power Curve for 
1.194Kg/m3 air density '[kW']
SG 5.0-145 (AM+1, 5.2MW) AT 
90M],MATCH(TBL_CalcDarwin[[#This Row],[Darwin Temp.
°C]],Curva_Temp[Temp]))</f>
        <v>5200</v>
      </c>
      <c r="S26" s="41" cm="1">
        <f t="array" ref="S26">INDEX(Curva_Temp[Temp],MATCH(TBL_CalcDarwin[[#This Row],[Darwin Temp.
°C]],Curva_Temp[Temp])+1)</f>
        <v>20</v>
      </c>
      <c r="T26" s="41" cm="1">
        <f t="array" ref="T26">INDEX(Curva_Temp[Warranted Power Curve for 
1.194Kg/m3 air density '[kW']
SG 5.0-145 (AM+1, 5.2MW) AT 
90M],MATCH(TBL_CalcDarwin[[#This Row],[Darwin Temp.
°C]],Curva_Temp[Temp])+1)</f>
        <v>5000</v>
      </c>
      <c r="U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26" s="41">
        <f>INDEX(Curva_Temp[Temp],MATCH(TBL_CalcDarwin[[#This Row],[Darwin Temp.
°C]],Curva_Temp[Temp]))</f>
        <v>15</v>
      </c>
      <c r="Z26" s="41">
        <f>INDEX(Curva_Temp[Warranted Power Curve for 
1.194Kg/m3 air density '[kW']
SG 5.0-145 (AM 0, 5.0MW) AT 
90M],MATCH(TBL_CalcDarwin[[#This Row],[Darwin Temp.
°C]],Curva_Temp[Temp]))</f>
        <v>5000</v>
      </c>
      <c r="AA26" s="41" cm="1">
        <f t="array" ref="AA26">INDEX(Curva_Temp[Temp],MATCH(TBL_CalcDarwin[[#This Row],[Darwin Temp.
°C]],Curva_Temp[Temp])+1)</f>
        <v>20</v>
      </c>
      <c r="AB26" s="41" cm="1">
        <f t="array" ref="AB26">INDEX(Curva_Temp[Warranted Power Curve for 
1.194Kg/m3 air density '[kW']
SG 5.0-145 (AM 0, 5.0MW) AT 
90M],MATCH(TBL_CalcDarwin[[#This Row],[Darwin Temp.
°C]],Curva_Temp[Temp])+1)</f>
        <v>5000</v>
      </c>
      <c r="AC26" s="45">
        <f>HLOOKUP(TBL_CalcDarwin[[#This Row],[Fecha]],'Plantilla AEG ES'!$E$1:$HX$13,2,FALSE)</f>
        <v>6</v>
      </c>
      <c r="AD26" s="45">
        <f>HLOOKUP(TBL_CalcDarwin[[#This Row],[Fecha]],'Plantilla AEG ES'!$E$1:$HX$13,3,FALSE)</f>
        <v>7</v>
      </c>
      <c r="AE26" s="45">
        <f>HLOOKUP(TBL_CalcDarwin[[#This Row],[Fecha]],'Plantilla AEG ES'!$E$1:$HX$13,4,FALSE)</f>
        <v>9</v>
      </c>
      <c r="AF26" s="45">
        <f>HLOOKUP(TBL_CalcDarwin[[#This Row],[Fecha]],'Plantilla AEG ES'!$E$1:$HX$13,5,FALSE)</f>
        <v>2</v>
      </c>
      <c r="AG26" s="45">
        <f>HLOOKUP(TBL_CalcDarwin[[#This Row],[Fecha]],'Plantilla AEG ES'!$E$1:$HX$13,6,FALSE)</f>
        <v>1</v>
      </c>
      <c r="AH26" s="45">
        <f>HLOOKUP(TBL_CalcDarwin[[#This Row],[Fecha]],'Plantilla AEG ES'!$E$1:$HX$13,7,FALSE)</f>
        <v>0</v>
      </c>
      <c r="AI26" s="46">
        <f>HLOOKUP(TBL_CalcDarwin[[#This Row],[Fecha]],'Plantilla AEG ES'!$E$1:$HX$13,8,FALSE)</f>
        <v>0</v>
      </c>
      <c r="AJ26" s="46">
        <f>HLOOKUP(TBL_CalcDarwin[[#This Row],[Fecha]],'Plantilla AEG ES'!$E$1:$HX$13,9,FALSE)</f>
        <v>1</v>
      </c>
      <c r="AK26" s="46">
        <f>HLOOKUP(TBL_CalcDarwin[[#This Row],[Fecha]],'Plantilla AEG ES'!$E$1:$HX$13,10,FALSE)</f>
        <v>12</v>
      </c>
      <c r="AL26" s="46">
        <f>HLOOKUP(TBL_CalcDarwin[[#This Row],[Fecha]],'Plantilla AEG ES'!$E$1:$HX$13,11,FALSE)</f>
        <v>1</v>
      </c>
      <c r="AM26" s="46">
        <f>HLOOKUP(TBL_CalcDarwin[[#This Row],[Fecha]],'Plantilla AEG ES'!$E$1:$HX$13,12,FALSE)</f>
        <v>5</v>
      </c>
      <c r="AN26" s="46">
        <f>HLOOKUP(TBL_CalcDarwin[[#This Row],[Fecha]],'Plantilla AEG ES'!$E$1:$HX$13,13,FALSE)</f>
        <v>3</v>
      </c>
      <c r="AO26" s="37">
        <f>TBL_CalcDarwin[[#This Row],[Lomitas - Barra A - 5.2 - Cerro]]+TBL_CalcDarwin[[#This Row],[Lomitas - Barra A - 5.2 - Medio]]+TBL_CalcDarwin[[#This Row],[Lomitas - Barra A - 5.2 - Mar]]</f>
        <v>22</v>
      </c>
      <c r="AP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11.998000000000001</v>
      </c>
      <c r="AR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13.425000000000001</v>
      </c>
      <c r="AS26" s="37">
        <f>TBL_CalcDarwin[[#This Row],[Expansión - Barra A - 5.2 - Cerro]]+TBL_CalcDarwin[[#This Row],[Expansión - Barra A - 5.2 - Medio]]+TBL_CalcDarwin[[#This Row],[Expansión - Barra A - 5.2 - Mar]]</f>
        <v>3</v>
      </c>
      <c r="AT26" s="37">
        <f>TBL_CalcDarwin[[#This Row],[Expansión - Barra B - 5.2 - Cerro]]</f>
        <v>3</v>
      </c>
      <c r="AU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1.0350000000000001</v>
      </c>
      <c r="AV26" s="29">
        <f>TBL_CalcDarwin[[#This Row],[Expansión - Barra B - 5.2 - Cerro]]*TBL_CalcDarwin[[#This Row],[AEG 5.2 MW Cerro]]</f>
        <v>0.73199999999999998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5">
        <f t="shared" si="0"/>
        <v>45585.041666666613</v>
      </c>
      <c r="C27" s="17">
        <f t="shared" si="2"/>
        <v>1.0416666666666663</v>
      </c>
      <c r="D27" s="34">
        <f>TBL_CalcDarwin[[#This Row],[Darwin PLOM
MW]]+TBL_CalcDarwin[[#This Row],[Darwin PLOME
MW]]</f>
        <v>27.19</v>
      </c>
      <c r="E27" s="34">
        <f>TBL_CalcDarwin[[#This Row],[PLOM MW TOTAL BARRA A]]+TBL_CalcDarwin[[#This Row],[PLOM MW TOTAL BARRA B]]</f>
        <v>25.423000000000002</v>
      </c>
      <c r="F27" s="34">
        <f>TBL_CalcDarwin[[#This Row],[PLOME MW TOTAL BARRA A]]+TBL_CalcDarwin[[#This Row],[PLOME MW TOTAL BARRA B]]</f>
        <v>1.7670000000000001</v>
      </c>
      <c r="G27" s="48">
        <f>'Plantilla Datos'!D32</f>
        <v>4.2</v>
      </c>
      <c r="H27" s="48">
        <f>'Plantilla Datos'!E32</f>
        <v>5.4</v>
      </c>
      <c r="I27" s="49">
        <f>'Plantilla Datos'!F32</f>
        <v>16.399999999999999</v>
      </c>
      <c r="J27" s="47">
        <f>CEILING('Plantilla Datos'!$L$3*TBL_CalcDarwin[[#This Row],[Darwin Gusts
m/s]],0.5)</f>
        <v>4</v>
      </c>
      <c r="K27" s="47">
        <f>CEILING('Plantilla Datos'!$L$4*TBL_CalcDarwin[[#This Row],[Darwin Gusts
m/s]],0.5)</f>
        <v>5</v>
      </c>
      <c r="L27" s="47">
        <f>CEILING(TBL_CalcDarwin[[#This Row],[Darwin Gusts
m/s]],0.5)</f>
        <v>5.5</v>
      </c>
      <c r="M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27" s="41">
        <f>INDEX(Curva_Temp[Temp],MATCH(TBL_CalcDarwin[[#This Row],[Darwin Temp.
°C]],Curva_Temp[Temp]))</f>
        <v>15</v>
      </c>
      <c r="R27" s="41">
        <f>INDEX(Curva_Temp[Warranted Power Curve for 
1.194Kg/m3 air density '[kW']
SG 5.0-145 (AM+1, 5.2MW) AT 
90M],MATCH(TBL_CalcDarwin[[#This Row],[Darwin Temp.
°C]],Curva_Temp[Temp]))</f>
        <v>5200</v>
      </c>
      <c r="S27" s="41" cm="1">
        <f t="array" ref="S27">INDEX(Curva_Temp[Temp],MATCH(TBL_CalcDarwin[[#This Row],[Darwin Temp.
°C]],Curva_Temp[Temp])+1)</f>
        <v>20</v>
      </c>
      <c r="T27" s="41" cm="1">
        <f t="array" ref="T27">INDEX(Curva_Temp[Warranted Power Curve for 
1.194Kg/m3 air density '[kW']
SG 5.0-145 (AM+1, 5.2MW) AT 
90M],MATCH(TBL_CalcDarwin[[#This Row],[Darwin Temp.
°C]],Curva_Temp[Temp])+1)</f>
        <v>5000</v>
      </c>
      <c r="U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27" s="41">
        <f>INDEX(Curva_Temp[Temp],MATCH(TBL_CalcDarwin[[#This Row],[Darwin Temp.
°C]],Curva_Temp[Temp]))</f>
        <v>15</v>
      </c>
      <c r="Z27" s="41">
        <f>INDEX(Curva_Temp[Warranted Power Curve for 
1.194Kg/m3 air density '[kW']
SG 5.0-145 (AM 0, 5.0MW) AT 
90M],MATCH(TBL_CalcDarwin[[#This Row],[Darwin Temp.
°C]],Curva_Temp[Temp]))</f>
        <v>5000</v>
      </c>
      <c r="AA27" s="41" cm="1">
        <f t="array" ref="AA27">INDEX(Curva_Temp[Temp],MATCH(TBL_CalcDarwin[[#This Row],[Darwin Temp.
°C]],Curva_Temp[Temp])+1)</f>
        <v>20</v>
      </c>
      <c r="AB27" s="41" cm="1">
        <f t="array" ref="AB27">INDEX(Curva_Temp[Warranted Power Curve for 
1.194Kg/m3 air density '[kW']
SG 5.0-145 (AM 0, 5.0MW) AT 
90M],MATCH(TBL_CalcDarwin[[#This Row],[Darwin Temp.
°C]],Curva_Temp[Temp])+1)</f>
        <v>5000</v>
      </c>
      <c r="AC27" s="45">
        <f>HLOOKUP(TBL_CalcDarwin[[#This Row],[Fecha]],'Plantilla AEG ES'!$E$1:$HX$13,2,FALSE)</f>
        <v>6</v>
      </c>
      <c r="AD27" s="45">
        <f>HLOOKUP(TBL_CalcDarwin[[#This Row],[Fecha]],'Plantilla AEG ES'!$E$1:$HX$13,3,FALSE)</f>
        <v>7</v>
      </c>
      <c r="AE27" s="45">
        <f>HLOOKUP(TBL_CalcDarwin[[#This Row],[Fecha]],'Plantilla AEG ES'!$E$1:$HX$13,4,FALSE)</f>
        <v>9</v>
      </c>
      <c r="AF27" s="45">
        <f>HLOOKUP(TBL_CalcDarwin[[#This Row],[Fecha]],'Plantilla AEG ES'!$E$1:$HX$13,5,FALSE)</f>
        <v>2</v>
      </c>
      <c r="AG27" s="45">
        <f>HLOOKUP(TBL_CalcDarwin[[#This Row],[Fecha]],'Plantilla AEG ES'!$E$1:$HX$13,6,FALSE)</f>
        <v>1</v>
      </c>
      <c r="AH27" s="45">
        <f>HLOOKUP(TBL_CalcDarwin[[#This Row],[Fecha]],'Plantilla AEG ES'!$E$1:$HX$13,7,FALSE)</f>
        <v>0</v>
      </c>
      <c r="AI27" s="46">
        <f>HLOOKUP(TBL_CalcDarwin[[#This Row],[Fecha]],'Plantilla AEG ES'!$E$1:$HX$13,8,FALSE)</f>
        <v>0</v>
      </c>
      <c r="AJ27" s="46">
        <f>HLOOKUP(TBL_CalcDarwin[[#This Row],[Fecha]],'Plantilla AEG ES'!$E$1:$HX$13,9,FALSE)</f>
        <v>1</v>
      </c>
      <c r="AK27" s="46">
        <f>HLOOKUP(TBL_CalcDarwin[[#This Row],[Fecha]],'Plantilla AEG ES'!$E$1:$HX$13,10,FALSE)</f>
        <v>12</v>
      </c>
      <c r="AL27" s="46">
        <f>HLOOKUP(TBL_CalcDarwin[[#This Row],[Fecha]],'Plantilla AEG ES'!$E$1:$HX$13,11,FALSE)</f>
        <v>1</v>
      </c>
      <c r="AM27" s="46">
        <f>HLOOKUP(TBL_CalcDarwin[[#This Row],[Fecha]],'Plantilla AEG ES'!$E$1:$HX$13,12,FALSE)</f>
        <v>5</v>
      </c>
      <c r="AN27" s="46">
        <f>HLOOKUP(TBL_CalcDarwin[[#This Row],[Fecha]],'Plantilla AEG ES'!$E$1:$HX$13,13,FALSE)</f>
        <v>3</v>
      </c>
      <c r="AO27" s="37">
        <f>TBL_CalcDarwin[[#This Row],[Lomitas - Barra A - 5.2 - Cerro]]+TBL_CalcDarwin[[#This Row],[Lomitas - Barra A - 5.2 - Medio]]+TBL_CalcDarwin[[#This Row],[Lomitas - Barra A - 5.2 - Mar]]</f>
        <v>22</v>
      </c>
      <c r="AP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11.998000000000001</v>
      </c>
      <c r="AR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13.425000000000001</v>
      </c>
      <c r="AS27" s="37">
        <f>TBL_CalcDarwin[[#This Row],[Expansión - Barra A - 5.2 - Cerro]]+TBL_CalcDarwin[[#This Row],[Expansión - Barra A - 5.2 - Medio]]+TBL_CalcDarwin[[#This Row],[Expansión - Barra A - 5.2 - Mar]]</f>
        <v>3</v>
      </c>
      <c r="AT27" s="37">
        <f>TBL_CalcDarwin[[#This Row],[Expansión - Barra B - 5.2 - Cerro]]</f>
        <v>3</v>
      </c>
      <c r="AU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1.0350000000000001</v>
      </c>
      <c r="AV27" s="29">
        <f>TBL_CalcDarwin[[#This Row],[Expansión - Barra B - 5.2 - Cerro]]*TBL_CalcDarwin[[#This Row],[AEG 5.2 MW Cerro]]</f>
        <v>0.73199999999999998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5">
        <f t="shared" si="0"/>
        <v>45585.083333333278</v>
      </c>
      <c r="C28" s="17">
        <f t="shared" si="2"/>
        <v>1.083333333333333</v>
      </c>
      <c r="D28" s="34">
        <f>TBL_CalcDarwin[[#This Row],[Darwin PLOM
MW]]+TBL_CalcDarwin[[#This Row],[Darwin PLOME
MW]]</f>
        <v>13.628</v>
      </c>
      <c r="E28" s="34">
        <f>TBL_CalcDarwin[[#This Row],[PLOM MW TOTAL BARRA A]]+TBL_CalcDarwin[[#This Row],[PLOM MW TOTAL BARRA B]]</f>
        <v>12.734</v>
      </c>
      <c r="F28" s="34">
        <f>TBL_CalcDarwin[[#This Row],[PLOME MW TOTAL BARRA A]]+TBL_CalcDarwin[[#This Row],[PLOME MW TOTAL BARRA B]]</f>
        <v>0.89400000000000002</v>
      </c>
      <c r="G28" s="48">
        <f>'Plantilla Datos'!D33</f>
        <v>3.4</v>
      </c>
      <c r="H28" s="48">
        <f>'Plantilla Datos'!E33</f>
        <v>4.5</v>
      </c>
      <c r="I28" s="49">
        <f>'Plantilla Datos'!F33</f>
        <v>16.5</v>
      </c>
      <c r="J28" s="47">
        <f>CEILING('Plantilla Datos'!$L$3*TBL_CalcDarwin[[#This Row],[Darwin Gusts
m/s]],0.5)</f>
        <v>3.5</v>
      </c>
      <c r="K28" s="47">
        <f>CEILING('Plantilla Datos'!$L$4*TBL_CalcDarwin[[#This Row],[Darwin Gusts
m/s]],0.5)</f>
        <v>4</v>
      </c>
      <c r="L28" s="47">
        <f>CEILING(TBL_CalcDarwin[[#This Row],[Darwin Gusts
m/s]],0.5)</f>
        <v>4.5</v>
      </c>
      <c r="M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28" s="41">
        <f>INDEX(Curva_Temp[Temp],MATCH(TBL_CalcDarwin[[#This Row],[Darwin Temp.
°C]],Curva_Temp[Temp]))</f>
        <v>15</v>
      </c>
      <c r="R28" s="41">
        <f>INDEX(Curva_Temp[Warranted Power Curve for 
1.194Kg/m3 air density '[kW']
SG 5.0-145 (AM+1, 5.2MW) AT 
90M],MATCH(TBL_CalcDarwin[[#This Row],[Darwin Temp.
°C]],Curva_Temp[Temp]))</f>
        <v>5200</v>
      </c>
      <c r="S28" s="41" cm="1">
        <f t="array" ref="S28">INDEX(Curva_Temp[Temp],MATCH(TBL_CalcDarwin[[#This Row],[Darwin Temp.
°C]],Curva_Temp[Temp])+1)</f>
        <v>20</v>
      </c>
      <c r="T28" s="41" cm="1">
        <f t="array" ref="T28">INDEX(Curva_Temp[Warranted Power Curve for 
1.194Kg/m3 air density '[kW']
SG 5.0-145 (AM+1, 5.2MW) AT 
90M],MATCH(TBL_CalcDarwin[[#This Row],[Darwin Temp.
°C]],Curva_Temp[Temp])+1)</f>
        <v>5000</v>
      </c>
      <c r="U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28" s="41">
        <f>INDEX(Curva_Temp[Temp],MATCH(TBL_CalcDarwin[[#This Row],[Darwin Temp.
°C]],Curva_Temp[Temp]))</f>
        <v>15</v>
      </c>
      <c r="Z28" s="41">
        <f>INDEX(Curva_Temp[Warranted Power Curve for 
1.194Kg/m3 air density '[kW']
SG 5.0-145 (AM 0, 5.0MW) AT 
90M],MATCH(TBL_CalcDarwin[[#This Row],[Darwin Temp.
°C]],Curva_Temp[Temp]))</f>
        <v>5000</v>
      </c>
      <c r="AA28" s="41" cm="1">
        <f t="array" ref="AA28">INDEX(Curva_Temp[Temp],MATCH(TBL_CalcDarwin[[#This Row],[Darwin Temp.
°C]],Curva_Temp[Temp])+1)</f>
        <v>20</v>
      </c>
      <c r="AB28" s="41" cm="1">
        <f t="array" ref="AB28">INDEX(Curva_Temp[Warranted Power Curve for 
1.194Kg/m3 air density '[kW']
SG 5.0-145 (AM 0, 5.0MW) AT 
90M],MATCH(TBL_CalcDarwin[[#This Row],[Darwin Temp.
°C]],Curva_Temp[Temp])+1)</f>
        <v>5000</v>
      </c>
      <c r="AC28" s="45">
        <f>HLOOKUP(TBL_CalcDarwin[[#This Row],[Fecha]],'Plantilla AEG ES'!$E$1:$HX$13,2,FALSE)</f>
        <v>6</v>
      </c>
      <c r="AD28" s="45">
        <f>HLOOKUP(TBL_CalcDarwin[[#This Row],[Fecha]],'Plantilla AEG ES'!$E$1:$HX$13,3,FALSE)</f>
        <v>7</v>
      </c>
      <c r="AE28" s="45">
        <f>HLOOKUP(TBL_CalcDarwin[[#This Row],[Fecha]],'Plantilla AEG ES'!$E$1:$HX$13,4,FALSE)</f>
        <v>9</v>
      </c>
      <c r="AF28" s="45">
        <f>HLOOKUP(TBL_CalcDarwin[[#This Row],[Fecha]],'Plantilla AEG ES'!$E$1:$HX$13,5,FALSE)</f>
        <v>2</v>
      </c>
      <c r="AG28" s="45">
        <f>HLOOKUP(TBL_CalcDarwin[[#This Row],[Fecha]],'Plantilla AEG ES'!$E$1:$HX$13,6,FALSE)</f>
        <v>1</v>
      </c>
      <c r="AH28" s="45">
        <f>HLOOKUP(TBL_CalcDarwin[[#This Row],[Fecha]],'Plantilla AEG ES'!$E$1:$HX$13,7,FALSE)</f>
        <v>0</v>
      </c>
      <c r="AI28" s="46">
        <f>HLOOKUP(TBL_CalcDarwin[[#This Row],[Fecha]],'Plantilla AEG ES'!$E$1:$HX$13,8,FALSE)</f>
        <v>0</v>
      </c>
      <c r="AJ28" s="46">
        <f>HLOOKUP(TBL_CalcDarwin[[#This Row],[Fecha]],'Plantilla AEG ES'!$E$1:$HX$13,9,FALSE)</f>
        <v>1</v>
      </c>
      <c r="AK28" s="46">
        <f>HLOOKUP(TBL_CalcDarwin[[#This Row],[Fecha]],'Plantilla AEG ES'!$E$1:$HX$13,10,FALSE)</f>
        <v>12</v>
      </c>
      <c r="AL28" s="46">
        <f>HLOOKUP(TBL_CalcDarwin[[#This Row],[Fecha]],'Plantilla AEG ES'!$E$1:$HX$13,11,FALSE)</f>
        <v>1</v>
      </c>
      <c r="AM28" s="46">
        <f>HLOOKUP(TBL_CalcDarwin[[#This Row],[Fecha]],'Plantilla AEG ES'!$E$1:$HX$13,12,FALSE)</f>
        <v>5</v>
      </c>
      <c r="AN28" s="46">
        <f>HLOOKUP(TBL_CalcDarwin[[#This Row],[Fecha]],'Plantilla AEG ES'!$E$1:$HX$13,13,FALSE)</f>
        <v>3</v>
      </c>
      <c r="AO28" s="37">
        <f>TBL_CalcDarwin[[#This Row],[Lomitas - Barra A - 5.2 - Cerro]]+TBL_CalcDarwin[[#This Row],[Lomitas - Barra A - 5.2 - Medio]]+TBL_CalcDarwin[[#This Row],[Lomitas - Barra A - 5.2 - Mar]]</f>
        <v>22</v>
      </c>
      <c r="AP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5.9260000000000002</v>
      </c>
      <c r="AR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6.8079999999999998</v>
      </c>
      <c r="AS28" s="37">
        <f>TBL_CalcDarwin[[#This Row],[Expansión - Barra A - 5.2 - Cerro]]+TBL_CalcDarwin[[#This Row],[Expansión - Barra A - 5.2 - Medio]]+TBL_CalcDarwin[[#This Row],[Expansión - Barra A - 5.2 - Mar]]</f>
        <v>3</v>
      </c>
      <c r="AT28" s="37">
        <f>TBL_CalcDarwin[[#This Row],[Expansión - Barra B - 5.2 - Cerro]]</f>
        <v>3</v>
      </c>
      <c r="AU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0.504</v>
      </c>
      <c r="AV28" s="29">
        <f>TBL_CalcDarwin[[#This Row],[Expansión - Barra B - 5.2 - Cerro]]*TBL_CalcDarwin[[#This Row],[AEG 5.2 MW Cerro]]</f>
        <v>0.39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5">
        <f t="shared" si="0"/>
        <v>45585.124999999942</v>
      </c>
      <c r="C29" s="17">
        <f>C28+TIME(1,0,0)</f>
        <v>1.1249999999999998</v>
      </c>
      <c r="D29" s="34">
        <f>TBL_CalcDarwin[[#This Row],[Darwin PLOM
MW]]+TBL_CalcDarwin[[#This Row],[Darwin PLOME
MW]]</f>
        <v>8.1169999999999991</v>
      </c>
      <c r="E29" s="34">
        <f>TBL_CalcDarwin[[#This Row],[PLOM MW TOTAL BARRA A]]+TBL_CalcDarwin[[#This Row],[PLOM MW TOTAL BARRA B]]</f>
        <v>7.7119999999999997</v>
      </c>
      <c r="F29" s="34">
        <f>TBL_CalcDarwin[[#This Row],[PLOME MW TOTAL BARRA A]]+TBL_CalcDarwin[[#This Row],[PLOME MW TOTAL BARRA B]]</f>
        <v>0.40500000000000003</v>
      </c>
      <c r="G29" s="48">
        <f>'Plantilla Datos'!D34</f>
        <v>2.7</v>
      </c>
      <c r="H29" s="48">
        <f>'Plantilla Datos'!E34</f>
        <v>3.6</v>
      </c>
      <c r="I29" s="49">
        <f>'Plantilla Datos'!F34</f>
        <v>16.5</v>
      </c>
      <c r="J29" s="47">
        <f>CEILING('Plantilla Datos'!$L$3*TBL_CalcDarwin[[#This Row],[Darwin Gusts
m/s]],0.5)</f>
        <v>3</v>
      </c>
      <c r="K29" s="47">
        <f>CEILING('Plantilla Datos'!$L$4*TBL_CalcDarwin[[#This Row],[Darwin Gusts
m/s]],0.5)</f>
        <v>3.5</v>
      </c>
      <c r="L29" s="47">
        <f>CEILING(TBL_CalcDarwin[[#This Row],[Darwin Gusts
m/s]],0.5)</f>
        <v>4</v>
      </c>
      <c r="M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29" s="41">
        <f>INDEX(Curva_Temp[Temp],MATCH(TBL_CalcDarwin[[#This Row],[Darwin Temp.
°C]],Curva_Temp[Temp]))</f>
        <v>15</v>
      </c>
      <c r="R29" s="41">
        <f>INDEX(Curva_Temp[Warranted Power Curve for 
1.194Kg/m3 air density '[kW']
SG 5.0-145 (AM+1, 5.2MW) AT 
90M],MATCH(TBL_CalcDarwin[[#This Row],[Darwin Temp.
°C]],Curva_Temp[Temp]))</f>
        <v>5200</v>
      </c>
      <c r="S29" s="41" cm="1">
        <f t="array" ref="S29">INDEX(Curva_Temp[Temp],MATCH(TBL_CalcDarwin[[#This Row],[Darwin Temp.
°C]],Curva_Temp[Temp])+1)</f>
        <v>20</v>
      </c>
      <c r="T29" s="41" cm="1">
        <f t="array" ref="T29">INDEX(Curva_Temp[Warranted Power Curve for 
1.194Kg/m3 air density '[kW']
SG 5.0-145 (AM+1, 5.2MW) AT 
90M],MATCH(TBL_CalcDarwin[[#This Row],[Darwin Temp.
°C]],Curva_Temp[Temp])+1)</f>
        <v>5000</v>
      </c>
      <c r="U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29" s="41">
        <f>INDEX(Curva_Temp[Temp],MATCH(TBL_CalcDarwin[[#This Row],[Darwin Temp.
°C]],Curva_Temp[Temp]))</f>
        <v>15</v>
      </c>
      <c r="Z29" s="41">
        <f>INDEX(Curva_Temp[Warranted Power Curve for 
1.194Kg/m3 air density '[kW']
SG 5.0-145 (AM 0, 5.0MW) AT 
90M],MATCH(TBL_CalcDarwin[[#This Row],[Darwin Temp.
°C]],Curva_Temp[Temp]))</f>
        <v>5000</v>
      </c>
      <c r="AA29" s="41" cm="1">
        <f t="array" ref="AA29">INDEX(Curva_Temp[Temp],MATCH(TBL_CalcDarwin[[#This Row],[Darwin Temp.
°C]],Curva_Temp[Temp])+1)</f>
        <v>20</v>
      </c>
      <c r="AB29" s="41" cm="1">
        <f t="array" ref="AB29">INDEX(Curva_Temp[Warranted Power Curve for 
1.194Kg/m3 air density '[kW']
SG 5.0-145 (AM 0, 5.0MW) AT 
90M],MATCH(TBL_CalcDarwin[[#This Row],[Darwin Temp.
°C]],Curva_Temp[Temp])+1)</f>
        <v>5000</v>
      </c>
      <c r="AC29" s="45">
        <f>HLOOKUP(TBL_CalcDarwin[[#This Row],[Fecha]],'Plantilla AEG ES'!$E$1:$HX$13,2,FALSE)</f>
        <v>6</v>
      </c>
      <c r="AD29" s="45">
        <f>HLOOKUP(TBL_CalcDarwin[[#This Row],[Fecha]],'Plantilla AEG ES'!$E$1:$HX$13,3,FALSE)</f>
        <v>7</v>
      </c>
      <c r="AE29" s="45">
        <f>HLOOKUP(TBL_CalcDarwin[[#This Row],[Fecha]],'Plantilla AEG ES'!$E$1:$HX$13,4,FALSE)</f>
        <v>9</v>
      </c>
      <c r="AF29" s="45">
        <f>HLOOKUP(TBL_CalcDarwin[[#This Row],[Fecha]],'Plantilla AEG ES'!$E$1:$HX$13,5,FALSE)</f>
        <v>2</v>
      </c>
      <c r="AG29" s="45">
        <f>HLOOKUP(TBL_CalcDarwin[[#This Row],[Fecha]],'Plantilla AEG ES'!$E$1:$HX$13,6,FALSE)</f>
        <v>1</v>
      </c>
      <c r="AH29" s="45">
        <f>HLOOKUP(TBL_CalcDarwin[[#This Row],[Fecha]],'Plantilla AEG ES'!$E$1:$HX$13,7,FALSE)</f>
        <v>0</v>
      </c>
      <c r="AI29" s="46">
        <f>HLOOKUP(TBL_CalcDarwin[[#This Row],[Fecha]],'Plantilla AEG ES'!$E$1:$HX$13,8,FALSE)</f>
        <v>0</v>
      </c>
      <c r="AJ29" s="46">
        <f>HLOOKUP(TBL_CalcDarwin[[#This Row],[Fecha]],'Plantilla AEG ES'!$E$1:$HX$13,9,FALSE)</f>
        <v>1</v>
      </c>
      <c r="AK29" s="46">
        <f>HLOOKUP(TBL_CalcDarwin[[#This Row],[Fecha]],'Plantilla AEG ES'!$E$1:$HX$13,10,FALSE)</f>
        <v>12</v>
      </c>
      <c r="AL29" s="46">
        <f>HLOOKUP(TBL_CalcDarwin[[#This Row],[Fecha]],'Plantilla AEG ES'!$E$1:$HX$13,11,FALSE)</f>
        <v>1</v>
      </c>
      <c r="AM29" s="46">
        <f>HLOOKUP(TBL_CalcDarwin[[#This Row],[Fecha]],'Plantilla AEG ES'!$E$1:$HX$13,12,FALSE)</f>
        <v>5</v>
      </c>
      <c r="AN29" s="46">
        <f>HLOOKUP(TBL_CalcDarwin[[#This Row],[Fecha]],'Plantilla AEG ES'!$E$1:$HX$13,13,FALSE)</f>
        <v>3</v>
      </c>
      <c r="AO29" s="37">
        <f>TBL_CalcDarwin[[#This Row],[Lomitas - Barra A - 5.2 - Cerro]]+TBL_CalcDarwin[[#This Row],[Lomitas - Barra A - 5.2 - Medio]]+TBL_CalcDarwin[[#This Row],[Lomitas - Barra A - 5.2 - Mar]]</f>
        <v>22</v>
      </c>
      <c r="AP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3.4359999999999999</v>
      </c>
      <c r="AR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4.2759999999999998</v>
      </c>
      <c r="AS29" s="37">
        <f>TBL_CalcDarwin[[#This Row],[Expansión - Barra A - 5.2 - Cerro]]+TBL_CalcDarwin[[#This Row],[Expansión - Barra A - 5.2 - Medio]]+TBL_CalcDarwin[[#This Row],[Expansión - Barra A - 5.2 - Mar]]</f>
        <v>3</v>
      </c>
      <c r="AT29" s="37">
        <f>TBL_CalcDarwin[[#This Row],[Expansión - Barra B - 5.2 - Cerro]]</f>
        <v>3</v>
      </c>
      <c r="AU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</v>
      </c>
      <c r="AV29" s="29">
        <f>TBL_CalcDarwin[[#This Row],[Expansión - Barra B - 5.2 - Cerro]]*TBL_CalcDarwin[[#This Row],[AEG 5.2 MW Cerro]]</f>
        <v>0.16500000000000001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5">
        <f t="shared" si="0"/>
        <v>45585.166666666606</v>
      </c>
      <c r="C30" s="17">
        <f t="shared" ref="C30:C46" si="3">C29+TIME(1,0,0)</f>
        <v>1.1666666666666665</v>
      </c>
      <c r="D30" s="34">
        <f>TBL_CalcDarwin[[#This Row],[Darwin PLOM
MW]]+TBL_CalcDarwin[[#This Row],[Darwin PLOME
MW]]</f>
        <v>1.42</v>
      </c>
      <c r="E30" s="34">
        <f>TBL_CalcDarwin[[#This Row],[PLOM MW TOTAL BARRA A]]+TBL_CalcDarwin[[#This Row],[PLOM MW TOTAL BARRA B]]</f>
        <v>1.42</v>
      </c>
      <c r="F30" s="34">
        <f>TBL_CalcDarwin[[#This Row],[PLOME MW TOTAL BARRA A]]+TBL_CalcDarwin[[#This Row],[PLOME MW TOTAL BARRA B]]</f>
        <v>0</v>
      </c>
      <c r="G30" s="48">
        <f>'Plantilla Datos'!D35</f>
        <v>1.9</v>
      </c>
      <c r="H30" s="48">
        <f>'Plantilla Datos'!E35</f>
        <v>2.7</v>
      </c>
      <c r="I30" s="49">
        <f>'Plantilla Datos'!F35</f>
        <v>16.5</v>
      </c>
      <c r="J30" s="47">
        <f>CEILING('Plantilla Datos'!$L$3*TBL_CalcDarwin[[#This Row],[Darwin Gusts
m/s]],0.5)</f>
        <v>2</v>
      </c>
      <c r="K30" s="47">
        <f>CEILING('Plantilla Datos'!$L$4*TBL_CalcDarwin[[#This Row],[Darwin Gusts
m/s]],0.5)</f>
        <v>2.5</v>
      </c>
      <c r="L30" s="47">
        <f>CEILING(TBL_CalcDarwin[[#This Row],[Darwin Gusts
m/s]],0.5)</f>
        <v>3</v>
      </c>
      <c r="M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30" s="41">
        <f>INDEX(Curva_Temp[Temp],MATCH(TBL_CalcDarwin[[#This Row],[Darwin Temp.
°C]],Curva_Temp[Temp]))</f>
        <v>15</v>
      </c>
      <c r="R30" s="41">
        <f>INDEX(Curva_Temp[Warranted Power Curve for 
1.194Kg/m3 air density '[kW']
SG 5.0-145 (AM+1, 5.2MW) AT 
90M],MATCH(TBL_CalcDarwin[[#This Row],[Darwin Temp.
°C]],Curva_Temp[Temp]))</f>
        <v>5200</v>
      </c>
      <c r="S30" s="41" cm="1">
        <f t="array" ref="S30">INDEX(Curva_Temp[Temp],MATCH(TBL_CalcDarwin[[#This Row],[Darwin Temp.
°C]],Curva_Temp[Temp])+1)</f>
        <v>20</v>
      </c>
      <c r="T30" s="41" cm="1">
        <f t="array" ref="T30">INDEX(Curva_Temp[Warranted Power Curve for 
1.194Kg/m3 air density '[kW']
SG 5.0-145 (AM+1, 5.2MW) AT 
90M],MATCH(TBL_CalcDarwin[[#This Row],[Darwin Temp.
°C]],Curva_Temp[Temp])+1)</f>
        <v>5000</v>
      </c>
      <c r="U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30" s="41">
        <f>INDEX(Curva_Temp[Temp],MATCH(TBL_CalcDarwin[[#This Row],[Darwin Temp.
°C]],Curva_Temp[Temp]))</f>
        <v>15</v>
      </c>
      <c r="Z30" s="41">
        <f>INDEX(Curva_Temp[Warranted Power Curve for 
1.194Kg/m3 air density '[kW']
SG 5.0-145 (AM 0, 5.0MW) AT 
90M],MATCH(TBL_CalcDarwin[[#This Row],[Darwin Temp.
°C]],Curva_Temp[Temp]))</f>
        <v>5000</v>
      </c>
      <c r="AA30" s="41" cm="1">
        <f t="array" ref="AA30">INDEX(Curva_Temp[Temp],MATCH(TBL_CalcDarwin[[#This Row],[Darwin Temp.
°C]],Curva_Temp[Temp])+1)</f>
        <v>20</v>
      </c>
      <c r="AB30" s="41" cm="1">
        <f t="array" ref="AB30">INDEX(Curva_Temp[Warranted Power Curve for 
1.194Kg/m3 air density '[kW']
SG 5.0-145 (AM 0, 5.0MW) AT 
90M],MATCH(TBL_CalcDarwin[[#This Row],[Darwin Temp.
°C]],Curva_Temp[Temp])+1)</f>
        <v>5000</v>
      </c>
      <c r="AC30" s="45">
        <f>HLOOKUP(TBL_CalcDarwin[[#This Row],[Fecha]],'Plantilla AEG ES'!$E$1:$HX$13,2,FALSE)</f>
        <v>6</v>
      </c>
      <c r="AD30" s="45">
        <f>HLOOKUP(TBL_CalcDarwin[[#This Row],[Fecha]],'Plantilla AEG ES'!$E$1:$HX$13,3,FALSE)</f>
        <v>7</v>
      </c>
      <c r="AE30" s="45">
        <f>HLOOKUP(TBL_CalcDarwin[[#This Row],[Fecha]],'Plantilla AEG ES'!$E$1:$HX$13,4,FALSE)</f>
        <v>9</v>
      </c>
      <c r="AF30" s="45">
        <f>HLOOKUP(TBL_CalcDarwin[[#This Row],[Fecha]],'Plantilla AEG ES'!$E$1:$HX$13,5,FALSE)</f>
        <v>2</v>
      </c>
      <c r="AG30" s="45">
        <f>HLOOKUP(TBL_CalcDarwin[[#This Row],[Fecha]],'Plantilla AEG ES'!$E$1:$HX$13,6,FALSE)</f>
        <v>1</v>
      </c>
      <c r="AH30" s="45">
        <f>HLOOKUP(TBL_CalcDarwin[[#This Row],[Fecha]],'Plantilla AEG ES'!$E$1:$HX$13,7,FALSE)</f>
        <v>0</v>
      </c>
      <c r="AI30" s="46">
        <f>HLOOKUP(TBL_CalcDarwin[[#This Row],[Fecha]],'Plantilla AEG ES'!$E$1:$HX$13,8,FALSE)</f>
        <v>0</v>
      </c>
      <c r="AJ30" s="46">
        <f>HLOOKUP(TBL_CalcDarwin[[#This Row],[Fecha]],'Plantilla AEG ES'!$E$1:$HX$13,9,FALSE)</f>
        <v>1</v>
      </c>
      <c r="AK30" s="46">
        <f>HLOOKUP(TBL_CalcDarwin[[#This Row],[Fecha]],'Plantilla AEG ES'!$E$1:$HX$13,10,FALSE)</f>
        <v>12</v>
      </c>
      <c r="AL30" s="46">
        <f>HLOOKUP(TBL_CalcDarwin[[#This Row],[Fecha]],'Plantilla AEG ES'!$E$1:$HX$13,11,FALSE)</f>
        <v>1</v>
      </c>
      <c r="AM30" s="46">
        <f>HLOOKUP(TBL_CalcDarwin[[#This Row],[Fecha]],'Plantilla AEG ES'!$E$1:$HX$13,12,FALSE)</f>
        <v>5</v>
      </c>
      <c r="AN30" s="46">
        <f>HLOOKUP(TBL_CalcDarwin[[#This Row],[Fecha]],'Plantilla AEG ES'!$E$1:$HX$13,13,FALSE)</f>
        <v>3</v>
      </c>
      <c r="AO30" s="37">
        <f>TBL_CalcDarwin[[#This Row],[Lomitas - Barra A - 5.2 - Cerro]]+TBL_CalcDarwin[[#This Row],[Lomitas - Barra A - 5.2 - Medio]]+TBL_CalcDarwin[[#This Row],[Lomitas - Barra A - 5.2 - Mar]]</f>
        <v>22</v>
      </c>
      <c r="AP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0.495</v>
      </c>
      <c r="AR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0.92500000000000004</v>
      </c>
      <c r="AS30" s="37">
        <f>TBL_CalcDarwin[[#This Row],[Expansión - Barra A - 5.2 - Cerro]]+TBL_CalcDarwin[[#This Row],[Expansión - Barra A - 5.2 - Medio]]+TBL_CalcDarwin[[#This Row],[Expansión - Barra A - 5.2 - Mar]]</f>
        <v>3</v>
      </c>
      <c r="AT30" s="37">
        <f>TBL_CalcDarwin[[#This Row],[Expansión - Barra B - 5.2 - Cerro]]</f>
        <v>3</v>
      </c>
      <c r="AU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30" s="29">
        <f>TBL_CalcDarwin[[#This Row],[Expansión - Barra B - 5.2 - Cerro]]*TBL_CalcDarwin[[#This Row],[AEG 5.2 MW Cerro]]</f>
        <v>0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5">
        <f t="shared" si="0"/>
        <v>45585.20833333327</v>
      </c>
      <c r="C31" s="17">
        <f t="shared" si="3"/>
        <v>1.2083333333333333</v>
      </c>
      <c r="D31" s="34">
        <f>TBL_CalcDarwin[[#This Row],[Darwin PLOM
MW]]+TBL_CalcDarwin[[#This Row],[Darwin PLOME
MW]]</f>
        <v>1.42</v>
      </c>
      <c r="E31" s="34">
        <f>TBL_CalcDarwin[[#This Row],[PLOM MW TOTAL BARRA A]]+TBL_CalcDarwin[[#This Row],[PLOM MW TOTAL BARRA B]]</f>
        <v>1.42</v>
      </c>
      <c r="F31" s="34">
        <f>TBL_CalcDarwin[[#This Row],[PLOME MW TOTAL BARRA A]]+TBL_CalcDarwin[[#This Row],[PLOME MW TOTAL BARRA B]]</f>
        <v>0</v>
      </c>
      <c r="G31" s="48">
        <f>'Plantilla Datos'!D36</f>
        <v>1.9</v>
      </c>
      <c r="H31" s="48">
        <f>'Plantilla Datos'!E36</f>
        <v>2.7</v>
      </c>
      <c r="I31" s="49">
        <f>'Plantilla Datos'!F36</f>
        <v>16.3</v>
      </c>
      <c r="J31" s="47">
        <f>CEILING('Plantilla Datos'!$L$3*TBL_CalcDarwin[[#This Row],[Darwin Gusts
m/s]],0.5)</f>
        <v>2</v>
      </c>
      <c r="K31" s="47">
        <f>CEILING('Plantilla Datos'!$L$4*TBL_CalcDarwin[[#This Row],[Darwin Gusts
m/s]],0.5)</f>
        <v>2.5</v>
      </c>
      <c r="L31" s="47">
        <f>CEILING(TBL_CalcDarwin[[#This Row],[Darwin Gusts
m/s]],0.5)</f>
        <v>3</v>
      </c>
      <c r="M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31" s="41">
        <f>INDEX(Curva_Temp[Temp],MATCH(TBL_CalcDarwin[[#This Row],[Darwin Temp.
°C]],Curva_Temp[Temp]))</f>
        <v>15</v>
      </c>
      <c r="R31" s="41">
        <f>INDEX(Curva_Temp[Warranted Power Curve for 
1.194Kg/m3 air density '[kW']
SG 5.0-145 (AM+1, 5.2MW) AT 
90M],MATCH(TBL_CalcDarwin[[#This Row],[Darwin Temp.
°C]],Curva_Temp[Temp]))</f>
        <v>5200</v>
      </c>
      <c r="S31" s="41" cm="1">
        <f t="array" ref="S31">INDEX(Curva_Temp[Temp],MATCH(TBL_CalcDarwin[[#This Row],[Darwin Temp.
°C]],Curva_Temp[Temp])+1)</f>
        <v>20</v>
      </c>
      <c r="T31" s="41" cm="1">
        <f t="array" ref="T31">INDEX(Curva_Temp[Warranted Power Curve for 
1.194Kg/m3 air density '[kW']
SG 5.0-145 (AM+1, 5.2MW) AT 
90M],MATCH(TBL_CalcDarwin[[#This Row],[Darwin Temp.
°C]],Curva_Temp[Temp])+1)</f>
        <v>5000</v>
      </c>
      <c r="U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31" s="41">
        <f>INDEX(Curva_Temp[Temp],MATCH(TBL_CalcDarwin[[#This Row],[Darwin Temp.
°C]],Curva_Temp[Temp]))</f>
        <v>15</v>
      </c>
      <c r="Z31" s="41">
        <f>INDEX(Curva_Temp[Warranted Power Curve for 
1.194Kg/m3 air density '[kW']
SG 5.0-145 (AM 0, 5.0MW) AT 
90M],MATCH(TBL_CalcDarwin[[#This Row],[Darwin Temp.
°C]],Curva_Temp[Temp]))</f>
        <v>5000</v>
      </c>
      <c r="AA31" s="41" cm="1">
        <f t="array" ref="AA31">INDEX(Curva_Temp[Temp],MATCH(TBL_CalcDarwin[[#This Row],[Darwin Temp.
°C]],Curva_Temp[Temp])+1)</f>
        <v>20</v>
      </c>
      <c r="AB31" s="41" cm="1">
        <f t="array" ref="AB31">INDEX(Curva_Temp[Warranted Power Curve for 
1.194Kg/m3 air density '[kW']
SG 5.0-145 (AM 0, 5.0MW) AT 
90M],MATCH(TBL_CalcDarwin[[#This Row],[Darwin Temp.
°C]],Curva_Temp[Temp])+1)</f>
        <v>5000</v>
      </c>
      <c r="AC31" s="45">
        <f>HLOOKUP(TBL_CalcDarwin[[#This Row],[Fecha]],'Plantilla AEG ES'!$E$1:$HX$13,2,FALSE)</f>
        <v>6</v>
      </c>
      <c r="AD31" s="45">
        <f>HLOOKUP(TBL_CalcDarwin[[#This Row],[Fecha]],'Plantilla AEG ES'!$E$1:$HX$13,3,FALSE)</f>
        <v>7</v>
      </c>
      <c r="AE31" s="45">
        <f>HLOOKUP(TBL_CalcDarwin[[#This Row],[Fecha]],'Plantilla AEG ES'!$E$1:$HX$13,4,FALSE)</f>
        <v>9</v>
      </c>
      <c r="AF31" s="45">
        <f>HLOOKUP(TBL_CalcDarwin[[#This Row],[Fecha]],'Plantilla AEG ES'!$E$1:$HX$13,5,FALSE)</f>
        <v>2</v>
      </c>
      <c r="AG31" s="45">
        <f>HLOOKUP(TBL_CalcDarwin[[#This Row],[Fecha]],'Plantilla AEG ES'!$E$1:$HX$13,6,FALSE)</f>
        <v>1</v>
      </c>
      <c r="AH31" s="45">
        <f>HLOOKUP(TBL_CalcDarwin[[#This Row],[Fecha]],'Plantilla AEG ES'!$E$1:$HX$13,7,FALSE)</f>
        <v>0</v>
      </c>
      <c r="AI31" s="46">
        <f>HLOOKUP(TBL_CalcDarwin[[#This Row],[Fecha]],'Plantilla AEG ES'!$E$1:$HX$13,8,FALSE)</f>
        <v>0</v>
      </c>
      <c r="AJ31" s="46">
        <f>HLOOKUP(TBL_CalcDarwin[[#This Row],[Fecha]],'Plantilla AEG ES'!$E$1:$HX$13,9,FALSE)</f>
        <v>1</v>
      </c>
      <c r="AK31" s="46">
        <f>HLOOKUP(TBL_CalcDarwin[[#This Row],[Fecha]],'Plantilla AEG ES'!$E$1:$HX$13,10,FALSE)</f>
        <v>12</v>
      </c>
      <c r="AL31" s="46">
        <f>HLOOKUP(TBL_CalcDarwin[[#This Row],[Fecha]],'Plantilla AEG ES'!$E$1:$HX$13,11,FALSE)</f>
        <v>1</v>
      </c>
      <c r="AM31" s="46">
        <f>HLOOKUP(TBL_CalcDarwin[[#This Row],[Fecha]],'Plantilla AEG ES'!$E$1:$HX$13,12,FALSE)</f>
        <v>5</v>
      </c>
      <c r="AN31" s="46">
        <f>HLOOKUP(TBL_CalcDarwin[[#This Row],[Fecha]],'Plantilla AEG ES'!$E$1:$HX$13,13,FALSE)</f>
        <v>3</v>
      </c>
      <c r="AO31" s="37">
        <f>TBL_CalcDarwin[[#This Row],[Lomitas - Barra A - 5.2 - Cerro]]+TBL_CalcDarwin[[#This Row],[Lomitas - Barra A - 5.2 - Medio]]+TBL_CalcDarwin[[#This Row],[Lomitas - Barra A - 5.2 - Mar]]</f>
        <v>22</v>
      </c>
      <c r="AP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0.495</v>
      </c>
      <c r="AR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0.92500000000000004</v>
      </c>
      <c r="AS31" s="37">
        <f>TBL_CalcDarwin[[#This Row],[Expansión - Barra A - 5.2 - Cerro]]+TBL_CalcDarwin[[#This Row],[Expansión - Barra A - 5.2 - Medio]]+TBL_CalcDarwin[[#This Row],[Expansión - Barra A - 5.2 - Mar]]</f>
        <v>3</v>
      </c>
      <c r="AT31" s="37">
        <f>TBL_CalcDarwin[[#This Row],[Expansión - Barra B - 5.2 - Cerro]]</f>
        <v>3</v>
      </c>
      <c r="AU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31" s="29">
        <f>TBL_CalcDarwin[[#This Row],[Expansión - Barra B - 5.2 - Cerro]]*TBL_CalcDarwin[[#This Row],[AEG 5.2 MW Cerro]]</f>
        <v>0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5">
        <f t="shared" si="0"/>
        <v>45585.249999999935</v>
      </c>
      <c r="C32" s="17">
        <f t="shared" si="3"/>
        <v>1.25</v>
      </c>
      <c r="D32" s="34">
        <f>TBL_CalcDarwin[[#This Row],[Darwin PLOM
MW]]+TBL_CalcDarwin[[#This Row],[Darwin PLOME
MW]]</f>
        <v>1.42</v>
      </c>
      <c r="E32" s="34">
        <f>TBL_CalcDarwin[[#This Row],[PLOM MW TOTAL BARRA A]]+TBL_CalcDarwin[[#This Row],[PLOM MW TOTAL BARRA B]]</f>
        <v>1.42</v>
      </c>
      <c r="F32" s="34">
        <f>TBL_CalcDarwin[[#This Row],[PLOME MW TOTAL BARRA A]]+TBL_CalcDarwin[[#This Row],[PLOME MW TOTAL BARRA B]]</f>
        <v>0</v>
      </c>
      <c r="G32" s="48">
        <f>'Plantilla Datos'!D37</f>
        <v>1.8</v>
      </c>
      <c r="H32" s="48">
        <f>'Plantilla Datos'!E37</f>
        <v>2.6</v>
      </c>
      <c r="I32" s="49">
        <f>'Plantilla Datos'!F37</f>
        <v>16.399999999999999</v>
      </c>
      <c r="J32" s="47">
        <f>CEILING('Plantilla Datos'!$L$3*TBL_CalcDarwin[[#This Row],[Darwin Gusts
m/s]],0.5)</f>
        <v>2</v>
      </c>
      <c r="K32" s="47">
        <f>CEILING('Plantilla Datos'!$L$4*TBL_CalcDarwin[[#This Row],[Darwin Gusts
m/s]],0.5)</f>
        <v>2.5</v>
      </c>
      <c r="L32" s="47">
        <f>CEILING(TBL_CalcDarwin[[#This Row],[Darwin Gusts
m/s]],0.5)</f>
        <v>3</v>
      </c>
      <c r="M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32" s="41">
        <f>INDEX(Curva_Temp[Temp],MATCH(TBL_CalcDarwin[[#This Row],[Darwin Temp.
°C]],Curva_Temp[Temp]))</f>
        <v>15</v>
      </c>
      <c r="R32" s="41">
        <f>INDEX(Curva_Temp[Warranted Power Curve for 
1.194Kg/m3 air density '[kW']
SG 5.0-145 (AM+1, 5.2MW) AT 
90M],MATCH(TBL_CalcDarwin[[#This Row],[Darwin Temp.
°C]],Curva_Temp[Temp]))</f>
        <v>5200</v>
      </c>
      <c r="S32" s="41" cm="1">
        <f t="array" ref="S32">INDEX(Curva_Temp[Temp],MATCH(TBL_CalcDarwin[[#This Row],[Darwin Temp.
°C]],Curva_Temp[Temp])+1)</f>
        <v>20</v>
      </c>
      <c r="T32" s="41" cm="1">
        <f t="array" ref="T32">INDEX(Curva_Temp[Warranted Power Curve for 
1.194Kg/m3 air density '[kW']
SG 5.0-145 (AM+1, 5.2MW) AT 
90M],MATCH(TBL_CalcDarwin[[#This Row],[Darwin Temp.
°C]],Curva_Temp[Temp])+1)</f>
        <v>5000</v>
      </c>
      <c r="U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32" s="41">
        <f>INDEX(Curva_Temp[Temp],MATCH(TBL_CalcDarwin[[#This Row],[Darwin Temp.
°C]],Curva_Temp[Temp]))</f>
        <v>15</v>
      </c>
      <c r="Z32" s="41">
        <f>INDEX(Curva_Temp[Warranted Power Curve for 
1.194Kg/m3 air density '[kW']
SG 5.0-145 (AM 0, 5.0MW) AT 
90M],MATCH(TBL_CalcDarwin[[#This Row],[Darwin Temp.
°C]],Curva_Temp[Temp]))</f>
        <v>5000</v>
      </c>
      <c r="AA32" s="41" cm="1">
        <f t="array" ref="AA32">INDEX(Curva_Temp[Temp],MATCH(TBL_CalcDarwin[[#This Row],[Darwin Temp.
°C]],Curva_Temp[Temp])+1)</f>
        <v>20</v>
      </c>
      <c r="AB32" s="41" cm="1">
        <f t="array" ref="AB32">INDEX(Curva_Temp[Warranted Power Curve for 
1.194Kg/m3 air density '[kW']
SG 5.0-145 (AM 0, 5.0MW) AT 
90M],MATCH(TBL_CalcDarwin[[#This Row],[Darwin Temp.
°C]],Curva_Temp[Temp])+1)</f>
        <v>5000</v>
      </c>
      <c r="AC32" s="45">
        <f>HLOOKUP(TBL_CalcDarwin[[#This Row],[Fecha]],'Plantilla AEG ES'!$E$1:$HX$13,2,FALSE)</f>
        <v>6</v>
      </c>
      <c r="AD32" s="45">
        <f>HLOOKUP(TBL_CalcDarwin[[#This Row],[Fecha]],'Plantilla AEG ES'!$E$1:$HX$13,3,FALSE)</f>
        <v>7</v>
      </c>
      <c r="AE32" s="45">
        <f>HLOOKUP(TBL_CalcDarwin[[#This Row],[Fecha]],'Plantilla AEG ES'!$E$1:$HX$13,4,FALSE)</f>
        <v>9</v>
      </c>
      <c r="AF32" s="45">
        <f>HLOOKUP(TBL_CalcDarwin[[#This Row],[Fecha]],'Plantilla AEG ES'!$E$1:$HX$13,5,FALSE)</f>
        <v>2</v>
      </c>
      <c r="AG32" s="45">
        <f>HLOOKUP(TBL_CalcDarwin[[#This Row],[Fecha]],'Plantilla AEG ES'!$E$1:$HX$13,6,FALSE)</f>
        <v>1</v>
      </c>
      <c r="AH32" s="45">
        <f>HLOOKUP(TBL_CalcDarwin[[#This Row],[Fecha]],'Plantilla AEG ES'!$E$1:$HX$13,7,FALSE)</f>
        <v>0</v>
      </c>
      <c r="AI32" s="46">
        <f>HLOOKUP(TBL_CalcDarwin[[#This Row],[Fecha]],'Plantilla AEG ES'!$E$1:$HX$13,8,FALSE)</f>
        <v>0</v>
      </c>
      <c r="AJ32" s="46">
        <f>HLOOKUP(TBL_CalcDarwin[[#This Row],[Fecha]],'Plantilla AEG ES'!$E$1:$HX$13,9,FALSE)</f>
        <v>1</v>
      </c>
      <c r="AK32" s="46">
        <f>HLOOKUP(TBL_CalcDarwin[[#This Row],[Fecha]],'Plantilla AEG ES'!$E$1:$HX$13,10,FALSE)</f>
        <v>12</v>
      </c>
      <c r="AL32" s="46">
        <f>HLOOKUP(TBL_CalcDarwin[[#This Row],[Fecha]],'Plantilla AEG ES'!$E$1:$HX$13,11,FALSE)</f>
        <v>1</v>
      </c>
      <c r="AM32" s="46">
        <f>HLOOKUP(TBL_CalcDarwin[[#This Row],[Fecha]],'Plantilla AEG ES'!$E$1:$HX$13,12,FALSE)</f>
        <v>5</v>
      </c>
      <c r="AN32" s="46">
        <f>HLOOKUP(TBL_CalcDarwin[[#This Row],[Fecha]],'Plantilla AEG ES'!$E$1:$HX$13,13,FALSE)</f>
        <v>3</v>
      </c>
      <c r="AO32" s="37">
        <f>TBL_CalcDarwin[[#This Row],[Lomitas - Barra A - 5.2 - Cerro]]+TBL_CalcDarwin[[#This Row],[Lomitas - Barra A - 5.2 - Medio]]+TBL_CalcDarwin[[#This Row],[Lomitas - Barra A - 5.2 - Mar]]</f>
        <v>22</v>
      </c>
      <c r="AP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0.495</v>
      </c>
      <c r="AR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0.92500000000000004</v>
      </c>
      <c r="AS32" s="37">
        <f>TBL_CalcDarwin[[#This Row],[Expansión - Barra A - 5.2 - Cerro]]+TBL_CalcDarwin[[#This Row],[Expansión - Barra A - 5.2 - Medio]]+TBL_CalcDarwin[[#This Row],[Expansión - Barra A - 5.2 - Mar]]</f>
        <v>3</v>
      </c>
      <c r="AT32" s="37">
        <f>TBL_CalcDarwin[[#This Row],[Expansión - Barra B - 5.2 - Cerro]]</f>
        <v>3</v>
      </c>
      <c r="AU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32" s="29">
        <f>TBL_CalcDarwin[[#This Row],[Expansión - Barra B - 5.2 - Cerro]]*TBL_CalcDarwin[[#This Row],[AEG 5.2 MW Cerro]]</f>
        <v>0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5">
        <f t="shared" si="0"/>
        <v>45585.291666666599</v>
      </c>
      <c r="C33" s="17">
        <f t="shared" si="3"/>
        <v>1.2916666666666667</v>
      </c>
      <c r="D33" s="34">
        <f>TBL_CalcDarwin[[#This Row],[Darwin PLOM
MW]]+TBL_CalcDarwin[[#This Row],[Darwin PLOME
MW]]</f>
        <v>0</v>
      </c>
      <c r="E33" s="34">
        <f>TBL_CalcDarwin[[#This Row],[PLOM MW TOTAL BARRA A]]+TBL_CalcDarwin[[#This Row],[PLOM MW TOTAL BARRA B]]</f>
        <v>0</v>
      </c>
      <c r="F33" s="34">
        <f>TBL_CalcDarwin[[#This Row],[PLOME MW TOTAL BARRA A]]+TBL_CalcDarwin[[#This Row],[PLOME MW TOTAL BARRA B]]</f>
        <v>0</v>
      </c>
      <c r="G33" s="48">
        <f>'Plantilla Datos'!D38</f>
        <v>1.8</v>
      </c>
      <c r="H33" s="48">
        <f>'Plantilla Datos'!E38</f>
        <v>2.5</v>
      </c>
      <c r="I33" s="49">
        <f>'Plantilla Datos'!F38</f>
        <v>16.2</v>
      </c>
      <c r="J33" s="47">
        <f>CEILING('Plantilla Datos'!$L$3*TBL_CalcDarwin[[#This Row],[Darwin Gusts
m/s]],0.5)</f>
        <v>2</v>
      </c>
      <c r="K33" s="47">
        <f>CEILING('Plantilla Datos'!$L$4*TBL_CalcDarwin[[#This Row],[Darwin Gusts
m/s]],0.5)</f>
        <v>2.5</v>
      </c>
      <c r="L33" s="47">
        <f>CEILING(TBL_CalcDarwin[[#This Row],[Darwin Gusts
m/s]],0.5)</f>
        <v>2.5</v>
      </c>
      <c r="M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33" s="41">
        <f>INDEX(Curva_Temp[Temp],MATCH(TBL_CalcDarwin[[#This Row],[Darwin Temp.
°C]],Curva_Temp[Temp]))</f>
        <v>15</v>
      </c>
      <c r="R33" s="41">
        <f>INDEX(Curva_Temp[Warranted Power Curve for 
1.194Kg/m3 air density '[kW']
SG 5.0-145 (AM+1, 5.2MW) AT 
90M],MATCH(TBL_CalcDarwin[[#This Row],[Darwin Temp.
°C]],Curva_Temp[Temp]))</f>
        <v>5200</v>
      </c>
      <c r="S33" s="41" cm="1">
        <f t="array" ref="S33">INDEX(Curva_Temp[Temp],MATCH(TBL_CalcDarwin[[#This Row],[Darwin Temp.
°C]],Curva_Temp[Temp])+1)</f>
        <v>20</v>
      </c>
      <c r="T33" s="41" cm="1">
        <f t="array" ref="T33">INDEX(Curva_Temp[Warranted Power Curve for 
1.194Kg/m3 air density '[kW']
SG 5.0-145 (AM+1, 5.2MW) AT 
90M],MATCH(TBL_CalcDarwin[[#This Row],[Darwin Temp.
°C]],Curva_Temp[Temp])+1)</f>
        <v>5000</v>
      </c>
      <c r="U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33" s="41">
        <f>INDEX(Curva_Temp[Temp],MATCH(TBL_CalcDarwin[[#This Row],[Darwin Temp.
°C]],Curva_Temp[Temp]))</f>
        <v>15</v>
      </c>
      <c r="Z33" s="41">
        <f>INDEX(Curva_Temp[Warranted Power Curve for 
1.194Kg/m3 air density '[kW']
SG 5.0-145 (AM 0, 5.0MW) AT 
90M],MATCH(TBL_CalcDarwin[[#This Row],[Darwin Temp.
°C]],Curva_Temp[Temp]))</f>
        <v>5000</v>
      </c>
      <c r="AA33" s="41" cm="1">
        <f t="array" ref="AA33">INDEX(Curva_Temp[Temp],MATCH(TBL_CalcDarwin[[#This Row],[Darwin Temp.
°C]],Curva_Temp[Temp])+1)</f>
        <v>20</v>
      </c>
      <c r="AB33" s="41" cm="1">
        <f t="array" ref="AB33">INDEX(Curva_Temp[Warranted Power Curve for 
1.194Kg/m3 air density '[kW']
SG 5.0-145 (AM 0, 5.0MW) AT 
90M],MATCH(TBL_CalcDarwin[[#This Row],[Darwin Temp.
°C]],Curva_Temp[Temp])+1)</f>
        <v>5000</v>
      </c>
      <c r="AC33" s="45">
        <f>HLOOKUP(TBL_CalcDarwin[[#This Row],[Fecha]],'Plantilla AEG ES'!$E$1:$HX$13,2,FALSE)</f>
        <v>6</v>
      </c>
      <c r="AD33" s="45">
        <f>HLOOKUP(TBL_CalcDarwin[[#This Row],[Fecha]],'Plantilla AEG ES'!$E$1:$HX$13,3,FALSE)</f>
        <v>7</v>
      </c>
      <c r="AE33" s="45">
        <f>HLOOKUP(TBL_CalcDarwin[[#This Row],[Fecha]],'Plantilla AEG ES'!$E$1:$HX$13,4,FALSE)</f>
        <v>9</v>
      </c>
      <c r="AF33" s="45">
        <f>HLOOKUP(TBL_CalcDarwin[[#This Row],[Fecha]],'Plantilla AEG ES'!$E$1:$HX$13,5,FALSE)</f>
        <v>2</v>
      </c>
      <c r="AG33" s="45">
        <f>HLOOKUP(TBL_CalcDarwin[[#This Row],[Fecha]],'Plantilla AEG ES'!$E$1:$HX$13,6,FALSE)</f>
        <v>1</v>
      </c>
      <c r="AH33" s="45">
        <f>HLOOKUP(TBL_CalcDarwin[[#This Row],[Fecha]],'Plantilla AEG ES'!$E$1:$HX$13,7,FALSE)</f>
        <v>0</v>
      </c>
      <c r="AI33" s="46">
        <f>HLOOKUP(TBL_CalcDarwin[[#This Row],[Fecha]],'Plantilla AEG ES'!$E$1:$HX$13,8,FALSE)</f>
        <v>0</v>
      </c>
      <c r="AJ33" s="46">
        <f>HLOOKUP(TBL_CalcDarwin[[#This Row],[Fecha]],'Plantilla AEG ES'!$E$1:$HX$13,9,FALSE)</f>
        <v>1</v>
      </c>
      <c r="AK33" s="46">
        <f>HLOOKUP(TBL_CalcDarwin[[#This Row],[Fecha]],'Plantilla AEG ES'!$E$1:$HX$13,10,FALSE)</f>
        <v>12</v>
      </c>
      <c r="AL33" s="46">
        <f>HLOOKUP(TBL_CalcDarwin[[#This Row],[Fecha]],'Plantilla AEG ES'!$E$1:$HX$13,11,FALSE)</f>
        <v>1</v>
      </c>
      <c r="AM33" s="46">
        <f>HLOOKUP(TBL_CalcDarwin[[#This Row],[Fecha]],'Plantilla AEG ES'!$E$1:$HX$13,12,FALSE)</f>
        <v>5</v>
      </c>
      <c r="AN33" s="46">
        <f>HLOOKUP(TBL_CalcDarwin[[#This Row],[Fecha]],'Plantilla AEG ES'!$E$1:$HX$13,13,FALSE)</f>
        <v>3</v>
      </c>
      <c r="AO33" s="37">
        <f>TBL_CalcDarwin[[#This Row],[Lomitas - Barra A - 5.2 - Cerro]]+TBL_CalcDarwin[[#This Row],[Lomitas - Barra A - 5.2 - Medio]]+TBL_CalcDarwin[[#This Row],[Lomitas - Barra A - 5.2 - Mar]]</f>
        <v>22</v>
      </c>
      <c r="AP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33" s="37">
        <f>TBL_CalcDarwin[[#This Row],[Expansión - Barra A - 5.2 - Cerro]]+TBL_CalcDarwin[[#This Row],[Expansión - Barra A - 5.2 - Medio]]+TBL_CalcDarwin[[#This Row],[Expansión - Barra A - 5.2 - Mar]]</f>
        <v>3</v>
      </c>
      <c r="AT33" s="37">
        <f>TBL_CalcDarwin[[#This Row],[Expansión - Barra B - 5.2 - Cerro]]</f>
        <v>3</v>
      </c>
      <c r="AU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33" s="29">
        <f>TBL_CalcDarwin[[#This Row],[Expansión - Barra B - 5.2 - Cerro]]*TBL_CalcDarwin[[#This Row],[AEG 5.2 MW Cerro]]</f>
        <v>0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5">
        <f t="shared" si="0"/>
        <v>45585.333333333263</v>
      </c>
      <c r="C34" s="17">
        <f t="shared" si="3"/>
        <v>1.3333333333333335</v>
      </c>
      <c r="D34" s="34">
        <f>TBL_CalcDarwin[[#This Row],[Darwin PLOM
MW]]+TBL_CalcDarwin[[#This Row],[Darwin PLOME
MW]]</f>
        <v>4.508</v>
      </c>
      <c r="E34" s="34">
        <f>TBL_CalcDarwin[[#This Row],[PLOM MW TOTAL BARRA A]]+TBL_CalcDarwin[[#This Row],[PLOM MW TOTAL BARRA B]]</f>
        <v>4.1779999999999999</v>
      </c>
      <c r="F34" s="34">
        <f>TBL_CalcDarwin[[#This Row],[PLOME MW TOTAL BARRA A]]+TBL_CalcDarwin[[#This Row],[PLOME MW TOTAL BARRA B]]</f>
        <v>0.33</v>
      </c>
      <c r="G34" s="48">
        <f>'Plantilla Datos'!D39</f>
        <v>2.6</v>
      </c>
      <c r="H34" s="48">
        <f>'Plantilla Datos'!E39</f>
        <v>3.5</v>
      </c>
      <c r="I34" s="49">
        <f>'Plantilla Datos'!F39</f>
        <v>16.7</v>
      </c>
      <c r="J34" s="47">
        <f>CEILING('Plantilla Datos'!$L$3*TBL_CalcDarwin[[#This Row],[Darwin Gusts
m/s]],0.5)</f>
        <v>3</v>
      </c>
      <c r="K34" s="47">
        <f>CEILING('Plantilla Datos'!$L$4*TBL_CalcDarwin[[#This Row],[Darwin Gusts
m/s]],0.5)</f>
        <v>3</v>
      </c>
      <c r="L34" s="47">
        <f>CEILING(TBL_CalcDarwin[[#This Row],[Darwin Gusts
m/s]],0.5)</f>
        <v>3.5</v>
      </c>
      <c r="M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34" s="41">
        <f>INDEX(Curva_Temp[Temp],MATCH(TBL_CalcDarwin[[#This Row],[Darwin Temp.
°C]],Curva_Temp[Temp]))</f>
        <v>15</v>
      </c>
      <c r="R34" s="41">
        <f>INDEX(Curva_Temp[Warranted Power Curve for 
1.194Kg/m3 air density '[kW']
SG 5.0-145 (AM+1, 5.2MW) AT 
90M],MATCH(TBL_CalcDarwin[[#This Row],[Darwin Temp.
°C]],Curva_Temp[Temp]))</f>
        <v>5200</v>
      </c>
      <c r="S34" s="41" cm="1">
        <f t="array" ref="S34">INDEX(Curva_Temp[Temp],MATCH(TBL_CalcDarwin[[#This Row],[Darwin Temp.
°C]],Curva_Temp[Temp])+1)</f>
        <v>20</v>
      </c>
      <c r="T34" s="41" cm="1">
        <f t="array" ref="T34">INDEX(Curva_Temp[Warranted Power Curve for 
1.194Kg/m3 air density '[kW']
SG 5.0-145 (AM+1, 5.2MW) AT 
90M],MATCH(TBL_CalcDarwin[[#This Row],[Darwin Temp.
°C]],Curva_Temp[Temp])+1)</f>
        <v>5000</v>
      </c>
      <c r="U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34" s="41">
        <f>INDEX(Curva_Temp[Temp],MATCH(TBL_CalcDarwin[[#This Row],[Darwin Temp.
°C]],Curva_Temp[Temp]))</f>
        <v>15</v>
      </c>
      <c r="Z34" s="41">
        <f>INDEX(Curva_Temp[Warranted Power Curve for 
1.194Kg/m3 air density '[kW']
SG 5.0-145 (AM 0, 5.0MW) AT 
90M],MATCH(TBL_CalcDarwin[[#This Row],[Darwin Temp.
°C]],Curva_Temp[Temp]))</f>
        <v>5000</v>
      </c>
      <c r="AA34" s="41" cm="1">
        <f t="array" ref="AA34">INDEX(Curva_Temp[Temp],MATCH(TBL_CalcDarwin[[#This Row],[Darwin Temp.
°C]],Curva_Temp[Temp])+1)</f>
        <v>20</v>
      </c>
      <c r="AB34" s="41" cm="1">
        <f t="array" ref="AB34">INDEX(Curva_Temp[Warranted Power Curve for 
1.194Kg/m3 air density '[kW']
SG 5.0-145 (AM 0, 5.0MW) AT 
90M],MATCH(TBL_CalcDarwin[[#This Row],[Darwin Temp.
°C]],Curva_Temp[Temp])+1)</f>
        <v>5000</v>
      </c>
      <c r="AC34" s="45">
        <f>HLOOKUP(TBL_CalcDarwin[[#This Row],[Fecha]],'Plantilla AEG ES'!$E$1:$HX$13,2,FALSE)</f>
        <v>6</v>
      </c>
      <c r="AD34" s="45">
        <f>HLOOKUP(TBL_CalcDarwin[[#This Row],[Fecha]],'Plantilla AEG ES'!$E$1:$HX$13,3,FALSE)</f>
        <v>7</v>
      </c>
      <c r="AE34" s="45">
        <f>HLOOKUP(TBL_CalcDarwin[[#This Row],[Fecha]],'Plantilla AEG ES'!$E$1:$HX$13,4,FALSE)</f>
        <v>9</v>
      </c>
      <c r="AF34" s="45">
        <f>HLOOKUP(TBL_CalcDarwin[[#This Row],[Fecha]],'Plantilla AEG ES'!$E$1:$HX$13,5,FALSE)</f>
        <v>2</v>
      </c>
      <c r="AG34" s="45">
        <f>HLOOKUP(TBL_CalcDarwin[[#This Row],[Fecha]],'Plantilla AEG ES'!$E$1:$HX$13,6,FALSE)</f>
        <v>1</v>
      </c>
      <c r="AH34" s="45">
        <f>HLOOKUP(TBL_CalcDarwin[[#This Row],[Fecha]],'Plantilla AEG ES'!$E$1:$HX$13,7,FALSE)</f>
        <v>0</v>
      </c>
      <c r="AI34" s="46">
        <f>HLOOKUP(TBL_CalcDarwin[[#This Row],[Fecha]],'Plantilla AEG ES'!$E$1:$HX$13,8,FALSE)</f>
        <v>0</v>
      </c>
      <c r="AJ34" s="46">
        <f>HLOOKUP(TBL_CalcDarwin[[#This Row],[Fecha]],'Plantilla AEG ES'!$E$1:$HX$13,9,FALSE)</f>
        <v>1</v>
      </c>
      <c r="AK34" s="46">
        <f>HLOOKUP(TBL_CalcDarwin[[#This Row],[Fecha]],'Plantilla AEG ES'!$E$1:$HX$13,10,FALSE)</f>
        <v>12</v>
      </c>
      <c r="AL34" s="46">
        <f>HLOOKUP(TBL_CalcDarwin[[#This Row],[Fecha]],'Plantilla AEG ES'!$E$1:$HX$13,11,FALSE)</f>
        <v>1</v>
      </c>
      <c r="AM34" s="46">
        <f>HLOOKUP(TBL_CalcDarwin[[#This Row],[Fecha]],'Plantilla AEG ES'!$E$1:$HX$13,12,FALSE)</f>
        <v>5</v>
      </c>
      <c r="AN34" s="46">
        <f>HLOOKUP(TBL_CalcDarwin[[#This Row],[Fecha]],'Plantilla AEG ES'!$E$1:$HX$13,13,FALSE)</f>
        <v>3</v>
      </c>
      <c r="AO34" s="37">
        <f>TBL_CalcDarwin[[#This Row],[Lomitas - Barra A - 5.2 - Cerro]]+TBL_CalcDarwin[[#This Row],[Lomitas - Barra A - 5.2 - Medio]]+TBL_CalcDarwin[[#This Row],[Lomitas - Barra A - 5.2 - Mar]]</f>
        <v>22</v>
      </c>
      <c r="AP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1.885</v>
      </c>
      <c r="AR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2.2930000000000001</v>
      </c>
      <c r="AS34" s="37">
        <f>TBL_CalcDarwin[[#This Row],[Expansión - Barra A - 5.2 - Cerro]]+TBL_CalcDarwin[[#This Row],[Expansión - Barra A - 5.2 - Medio]]+TBL_CalcDarwin[[#This Row],[Expansión - Barra A - 5.2 - Mar]]</f>
        <v>3</v>
      </c>
      <c r="AT34" s="37">
        <f>TBL_CalcDarwin[[#This Row],[Expansión - Barra B - 5.2 - Cerro]]</f>
        <v>3</v>
      </c>
      <c r="AU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0.16500000000000001</v>
      </c>
      <c r="AV34" s="29">
        <f>TBL_CalcDarwin[[#This Row],[Expansión - Barra B - 5.2 - Cerro]]*TBL_CalcDarwin[[#This Row],[AEG 5.2 MW Cerro]]</f>
        <v>0.16500000000000001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5">
        <f t="shared" si="0"/>
        <v>45585.374999999927</v>
      </c>
      <c r="C35" s="17">
        <f t="shared" si="3"/>
        <v>1.3750000000000002</v>
      </c>
      <c r="D35" s="34">
        <f>TBL_CalcDarwin[[#This Row],[Darwin PLOM
MW]]+TBL_CalcDarwin[[#This Row],[Darwin PLOME
MW]]</f>
        <v>13.628</v>
      </c>
      <c r="E35" s="34">
        <f>TBL_CalcDarwin[[#This Row],[PLOM MW TOTAL BARRA A]]+TBL_CalcDarwin[[#This Row],[PLOM MW TOTAL BARRA B]]</f>
        <v>12.734</v>
      </c>
      <c r="F35" s="34">
        <f>TBL_CalcDarwin[[#This Row],[PLOME MW TOTAL BARRA A]]+TBL_CalcDarwin[[#This Row],[PLOME MW TOTAL BARRA B]]</f>
        <v>0.89400000000000002</v>
      </c>
      <c r="G35" s="48">
        <f>'Plantilla Datos'!D40</f>
        <v>3.3</v>
      </c>
      <c r="H35" s="48">
        <f>'Plantilla Datos'!E40</f>
        <v>4.4000000000000004</v>
      </c>
      <c r="I35" s="49">
        <f>'Plantilla Datos'!F40</f>
        <v>17.100000000000001</v>
      </c>
      <c r="J35" s="47">
        <f>CEILING('Plantilla Datos'!$L$3*TBL_CalcDarwin[[#This Row],[Darwin Gusts
m/s]],0.5)</f>
        <v>3.5</v>
      </c>
      <c r="K35" s="47">
        <f>CEILING('Plantilla Datos'!$L$4*TBL_CalcDarwin[[#This Row],[Darwin Gusts
m/s]],0.5)</f>
        <v>4</v>
      </c>
      <c r="L35" s="47">
        <f>CEILING(TBL_CalcDarwin[[#This Row],[Darwin Gusts
m/s]],0.5)</f>
        <v>4.5</v>
      </c>
      <c r="M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35" s="41">
        <f>INDEX(Curva_Temp[Temp],MATCH(TBL_CalcDarwin[[#This Row],[Darwin Temp.
°C]],Curva_Temp[Temp]))</f>
        <v>15</v>
      </c>
      <c r="R35" s="41">
        <f>INDEX(Curva_Temp[Warranted Power Curve for 
1.194Kg/m3 air density '[kW']
SG 5.0-145 (AM+1, 5.2MW) AT 
90M],MATCH(TBL_CalcDarwin[[#This Row],[Darwin Temp.
°C]],Curva_Temp[Temp]))</f>
        <v>5200</v>
      </c>
      <c r="S35" s="41" cm="1">
        <f t="array" ref="S35">INDEX(Curva_Temp[Temp],MATCH(TBL_CalcDarwin[[#This Row],[Darwin Temp.
°C]],Curva_Temp[Temp])+1)</f>
        <v>20</v>
      </c>
      <c r="T35" s="41" cm="1">
        <f t="array" ref="T35">INDEX(Curva_Temp[Warranted Power Curve for 
1.194Kg/m3 air density '[kW']
SG 5.0-145 (AM+1, 5.2MW) AT 
90M],MATCH(TBL_CalcDarwin[[#This Row],[Darwin Temp.
°C]],Curva_Temp[Temp])+1)</f>
        <v>5000</v>
      </c>
      <c r="U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35" s="41">
        <f>INDEX(Curva_Temp[Temp],MATCH(TBL_CalcDarwin[[#This Row],[Darwin Temp.
°C]],Curva_Temp[Temp]))</f>
        <v>15</v>
      </c>
      <c r="Z35" s="41">
        <f>INDEX(Curva_Temp[Warranted Power Curve for 
1.194Kg/m3 air density '[kW']
SG 5.0-145 (AM 0, 5.0MW) AT 
90M],MATCH(TBL_CalcDarwin[[#This Row],[Darwin Temp.
°C]],Curva_Temp[Temp]))</f>
        <v>5000</v>
      </c>
      <c r="AA35" s="41" cm="1">
        <f t="array" ref="AA35">INDEX(Curva_Temp[Temp],MATCH(TBL_CalcDarwin[[#This Row],[Darwin Temp.
°C]],Curva_Temp[Temp])+1)</f>
        <v>20</v>
      </c>
      <c r="AB35" s="41" cm="1">
        <f t="array" ref="AB35">INDEX(Curva_Temp[Warranted Power Curve for 
1.194Kg/m3 air density '[kW']
SG 5.0-145 (AM 0, 5.0MW) AT 
90M],MATCH(TBL_CalcDarwin[[#This Row],[Darwin Temp.
°C]],Curva_Temp[Temp])+1)</f>
        <v>5000</v>
      </c>
      <c r="AC35" s="45">
        <f>HLOOKUP(TBL_CalcDarwin[[#This Row],[Fecha]],'Plantilla AEG ES'!$E$1:$HX$13,2,FALSE)</f>
        <v>6</v>
      </c>
      <c r="AD35" s="45">
        <f>HLOOKUP(TBL_CalcDarwin[[#This Row],[Fecha]],'Plantilla AEG ES'!$E$1:$HX$13,3,FALSE)</f>
        <v>7</v>
      </c>
      <c r="AE35" s="45">
        <f>HLOOKUP(TBL_CalcDarwin[[#This Row],[Fecha]],'Plantilla AEG ES'!$E$1:$HX$13,4,FALSE)</f>
        <v>9</v>
      </c>
      <c r="AF35" s="45">
        <f>HLOOKUP(TBL_CalcDarwin[[#This Row],[Fecha]],'Plantilla AEG ES'!$E$1:$HX$13,5,FALSE)</f>
        <v>2</v>
      </c>
      <c r="AG35" s="45">
        <f>HLOOKUP(TBL_CalcDarwin[[#This Row],[Fecha]],'Plantilla AEG ES'!$E$1:$HX$13,6,FALSE)</f>
        <v>1</v>
      </c>
      <c r="AH35" s="45">
        <f>HLOOKUP(TBL_CalcDarwin[[#This Row],[Fecha]],'Plantilla AEG ES'!$E$1:$HX$13,7,FALSE)</f>
        <v>0</v>
      </c>
      <c r="AI35" s="46">
        <f>HLOOKUP(TBL_CalcDarwin[[#This Row],[Fecha]],'Plantilla AEG ES'!$E$1:$HX$13,8,FALSE)</f>
        <v>0</v>
      </c>
      <c r="AJ35" s="46">
        <f>HLOOKUP(TBL_CalcDarwin[[#This Row],[Fecha]],'Plantilla AEG ES'!$E$1:$HX$13,9,FALSE)</f>
        <v>1</v>
      </c>
      <c r="AK35" s="46">
        <f>HLOOKUP(TBL_CalcDarwin[[#This Row],[Fecha]],'Plantilla AEG ES'!$E$1:$HX$13,10,FALSE)</f>
        <v>12</v>
      </c>
      <c r="AL35" s="46">
        <f>HLOOKUP(TBL_CalcDarwin[[#This Row],[Fecha]],'Plantilla AEG ES'!$E$1:$HX$13,11,FALSE)</f>
        <v>1</v>
      </c>
      <c r="AM35" s="46">
        <f>HLOOKUP(TBL_CalcDarwin[[#This Row],[Fecha]],'Plantilla AEG ES'!$E$1:$HX$13,12,FALSE)</f>
        <v>5</v>
      </c>
      <c r="AN35" s="46">
        <f>HLOOKUP(TBL_CalcDarwin[[#This Row],[Fecha]],'Plantilla AEG ES'!$E$1:$HX$13,13,FALSE)</f>
        <v>3</v>
      </c>
      <c r="AO35" s="37">
        <f>TBL_CalcDarwin[[#This Row],[Lomitas - Barra A - 5.2 - Cerro]]+TBL_CalcDarwin[[#This Row],[Lomitas - Barra A - 5.2 - Medio]]+TBL_CalcDarwin[[#This Row],[Lomitas - Barra A - 5.2 - Mar]]</f>
        <v>22</v>
      </c>
      <c r="AP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5.9260000000000002</v>
      </c>
      <c r="AR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6.8079999999999998</v>
      </c>
      <c r="AS35" s="37">
        <f>TBL_CalcDarwin[[#This Row],[Expansión - Barra A - 5.2 - Cerro]]+TBL_CalcDarwin[[#This Row],[Expansión - Barra A - 5.2 - Medio]]+TBL_CalcDarwin[[#This Row],[Expansión - Barra A - 5.2 - Mar]]</f>
        <v>3</v>
      </c>
      <c r="AT35" s="37">
        <f>TBL_CalcDarwin[[#This Row],[Expansión - Barra B - 5.2 - Cerro]]</f>
        <v>3</v>
      </c>
      <c r="AU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0.504</v>
      </c>
      <c r="AV35" s="29">
        <f>TBL_CalcDarwin[[#This Row],[Expansión - Barra B - 5.2 - Cerro]]*TBL_CalcDarwin[[#This Row],[AEG 5.2 MW Cerro]]</f>
        <v>0.39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5">
        <f t="shared" si="0"/>
        <v>45585.416666666591</v>
      </c>
      <c r="C36" s="17">
        <f t="shared" si="3"/>
        <v>1.416666666666667</v>
      </c>
      <c r="D36" s="34">
        <f>TBL_CalcDarwin[[#This Row],[Darwin PLOM
MW]]+TBL_CalcDarwin[[#This Row],[Darwin PLOME
MW]]</f>
        <v>27.19</v>
      </c>
      <c r="E36" s="34">
        <f>TBL_CalcDarwin[[#This Row],[PLOM MW TOTAL BARRA A]]+TBL_CalcDarwin[[#This Row],[PLOM MW TOTAL BARRA B]]</f>
        <v>25.423000000000002</v>
      </c>
      <c r="F36" s="34">
        <f>TBL_CalcDarwin[[#This Row],[PLOME MW TOTAL BARRA A]]+TBL_CalcDarwin[[#This Row],[PLOME MW TOTAL BARRA B]]</f>
        <v>1.7670000000000001</v>
      </c>
      <c r="G36" s="48">
        <f>'Plantilla Datos'!D41</f>
        <v>4.0999999999999996</v>
      </c>
      <c r="H36" s="48">
        <f>'Plantilla Datos'!E41</f>
        <v>5.4</v>
      </c>
      <c r="I36" s="49">
        <f>'Plantilla Datos'!F41</f>
        <v>17.5</v>
      </c>
      <c r="J36" s="47">
        <f>CEILING('Plantilla Datos'!$L$3*TBL_CalcDarwin[[#This Row],[Darwin Gusts
m/s]],0.5)</f>
        <v>4</v>
      </c>
      <c r="K36" s="47">
        <f>CEILING('Plantilla Datos'!$L$4*TBL_CalcDarwin[[#This Row],[Darwin Gusts
m/s]],0.5)</f>
        <v>5</v>
      </c>
      <c r="L36" s="47">
        <f>CEILING(TBL_CalcDarwin[[#This Row],[Darwin Gusts
m/s]],0.5)</f>
        <v>5.5</v>
      </c>
      <c r="M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36" s="41">
        <f>INDEX(Curva_Temp[Temp],MATCH(TBL_CalcDarwin[[#This Row],[Darwin Temp.
°C]],Curva_Temp[Temp]))</f>
        <v>15</v>
      </c>
      <c r="R36" s="41">
        <f>INDEX(Curva_Temp[Warranted Power Curve for 
1.194Kg/m3 air density '[kW']
SG 5.0-145 (AM+1, 5.2MW) AT 
90M],MATCH(TBL_CalcDarwin[[#This Row],[Darwin Temp.
°C]],Curva_Temp[Temp]))</f>
        <v>5200</v>
      </c>
      <c r="S36" s="41" cm="1">
        <f t="array" ref="S36">INDEX(Curva_Temp[Temp],MATCH(TBL_CalcDarwin[[#This Row],[Darwin Temp.
°C]],Curva_Temp[Temp])+1)</f>
        <v>20</v>
      </c>
      <c r="T36" s="41" cm="1">
        <f t="array" ref="T36">INDEX(Curva_Temp[Warranted Power Curve for 
1.194Kg/m3 air density '[kW']
SG 5.0-145 (AM+1, 5.2MW) AT 
90M],MATCH(TBL_CalcDarwin[[#This Row],[Darwin Temp.
°C]],Curva_Temp[Temp])+1)</f>
        <v>5000</v>
      </c>
      <c r="U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36" s="41">
        <f>INDEX(Curva_Temp[Temp],MATCH(TBL_CalcDarwin[[#This Row],[Darwin Temp.
°C]],Curva_Temp[Temp]))</f>
        <v>15</v>
      </c>
      <c r="Z36" s="41">
        <f>INDEX(Curva_Temp[Warranted Power Curve for 
1.194Kg/m3 air density '[kW']
SG 5.0-145 (AM 0, 5.0MW) AT 
90M],MATCH(TBL_CalcDarwin[[#This Row],[Darwin Temp.
°C]],Curva_Temp[Temp]))</f>
        <v>5000</v>
      </c>
      <c r="AA36" s="41" cm="1">
        <f t="array" ref="AA36">INDEX(Curva_Temp[Temp],MATCH(TBL_CalcDarwin[[#This Row],[Darwin Temp.
°C]],Curva_Temp[Temp])+1)</f>
        <v>20</v>
      </c>
      <c r="AB36" s="41" cm="1">
        <f t="array" ref="AB36">INDEX(Curva_Temp[Warranted Power Curve for 
1.194Kg/m3 air density '[kW']
SG 5.0-145 (AM 0, 5.0MW) AT 
90M],MATCH(TBL_CalcDarwin[[#This Row],[Darwin Temp.
°C]],Curva_Temp[Temp])+1)</f>
        <v>5000</v>
      </c>
      <c r="AC36" s="45">
        <f>HLOOKUP(TBL_CalcDarwin[[#This Row],[Fecha]],'Plantilla AEG ES'!$E$1:$HX$13,2,FALSE)</f>
        <v>6</v>
      </c>
      <c r="AD36" s="45">
        <f>HLOOKUP(TBL_CalcDarwin[[#This Row],[Fecha]],'Plantilla AEG ES'!$E$1:$HX$13,3,FALSE)</f>
        <v>7</v>
      </c>
      <c r="AE36" s="45">
        <f>HLOOKUP(TBL_CalcDarwin[[#This Row],[Fecha]],'Plantilla AEG ES'!$E$1:$HX$13,4,FALSE)</f>
        <v>9</v>
      </c>
      <c r="AF36" s="45">
        <f>HLOOKUP(TBL_CalcDarwin[[#This Row],[Fecha]],'Plantilla AEG ES'!$E$1:$HX$13,5,FALSE)</f>
        <v>2</v>
      </c>
      <c r="AG36" s="45">
        <f>HLOOKUP(TBL_CalcDarwin[[#This Row],[Fecha]],'Plantilla AEG ES'!$E$1:$HX$13,6,FALSE)</f>
        <v>1</v>
      </c>
      <c r="AH36" s="45">
        <f>HLOOKUP(TBL_CalcDarwin[[#This Row],[Fecha]],'Plantilla AEG ES'!$E$1:$HX$13,7,FALSE)</f>
        <v>0</v>
      </c>
      <c r="AI36" s="46">
        <f>HLOOKUP(TBL_CalcDarwin[[#This Row],[Fecha]],'Plantilla AEG ES'!$E$1:$HX$13,8,FALSE)</f>
        <v>0</v>
      </c>
      <c r="AJ36" s="46">
        <f>HLOOKUP(TBL_CalcDarwin[[#This Row],[Fecha]],'Plantilla AEG ES'!$E$1:$HX$13,9,FALSE)</f>
        <v>1</v>
      </c>
      <c r="AK36" s="46">
        <f>HLOOKUP(TBL_CalcDarwin[[#This Row],[Fecha]],'Plantilla AEG ES'!$E$1:$HX$13,10,FALSE)</f>
        <v>12</v>
      </c>
      <c r="AL36" s="46">
        <f>HLOOKUP(TBL_CalcDarwin[[#This Row],[Fecha]],'Plantilla AEG ES'!$E$1:$HX$13,11,FALSE)</f>
        <v>1</v>
      </c>
      <c r="AM36" s="46">
        <f>HLOOKUP(TBL_CalcDarwin[[#This Row],[Fecha]],'Plantilla AEG ES'!$E$1:$HX$13,12,FALSE)</f>
        <v>5</v>
      </c>
      <c r="AN36" s="46">
        <f>HLOOKUP(TBL_CalcDarwin[[#This Row],[Fecha]],'Plantilla AEG ES'!$E$1:$HX$13,13,FALSE)</f>
        <v>3</v>
      </c>
      <c r="AO36" s="37">
        <f>TBL_CalcDarwin[[#This Row],[Lomitas - Barra A - 5.2 - Cerro]]+TBL_CalcDarwin[[#This Row],[Lomitas - Barra A - 5.2 - Medio]]+TBL_CalcDarwin[[#This Row],[Lomitas - Barra A - 5.2 - Mar]]</f>
        <v>22</v>
      </c>
      <c r="AP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11.998000000000001</v>
      </c>
      <c r="AR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13.425000000000001</v>
      </c>
      <c r="AS36" s="37">
        <f>TBL_CalcDarwin[[#This Row],[Expansión - Barra A - 5.2 - Cerro]]+TBL_CalcDarwin[[#This Row],[Expansión - Barra A - 5.2 - Medio]]+TBL_CalcDarwin[[#This Row],[Expansión - Barra A - 5.2 - Mar]]</f>
        <v>3</v>
      </c>
      <c r="AT36" s="37">
        <f>TBL_CalcDarwin[[#This Row],[Expansión - Barra B - 5.2 - Cerro]]</f>
        <v>3</v>
      </c>
      <c r="AU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1.0350000000000001</v>
      </c>
      <c r="AV36" s="29">
        <f>TBL_CalcDarwin[[#This Row],[Expansión - Barra B - 5.2 - Cerro]]*TBL_CalcDarwin[[#This Row],[AEG 5.2 MW Cerro]]</f>
        <v>0.73199999999999998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5">
        <f t="shared" si="0"/>
        <v>45585.458333333256</v>
      </c>
      <c r="C37" s="17">
        <f t="shared" si="3"/>
        <v>1.4583333333333337</v>
      </c>
      <c r="D37" s="34">
        <f>TBL_CalcDarwin[[#This Row],[Darwin PLOM
MW]]+TBL_CalcDarwin[[#This Row],[Darwin PLOME
MW]]</f>
        <v>35.048999999999999</v>
      </c>
      <c r="E37" s="34">
        <f>TBL_CalcDarwin[[#This Row],[PLOM MW TOTAL BARRA A]]+TBL_CalcDarwin[[#This Row],[PLOM MW TOTAL BARRA B]]</f>
        <v>32.591999999999999</v>
      </c>
      <c r="F37" s="34">
        <f>TBL_CalcDarwin[[#This Row],[PLOME MW TOTAL BARRA A]]+TBL_CalcDarwin[[#This Row],[PLOME MW TOTAL BARRA B]]</f>
        <v>2.4569999999999999</v>
      </c>
      <c r="G37" s="48">
        <f>'Plantilla Datos'!D42</f>
        <v>4.5</v>
      </c>
      <c r="H37" s="48">
        <f>'Plantilla Datos'!E42</f>
        <v>5.8</v>
      </c>
      <c r="I37" s="49">
        <f>'Plantilla Datos'!F42</f>
        <v>17.8</v>
      </c>
      <c r="J37" s="47">
        <f>CEILING('Plantilla Datos'!$L$3*TBL_CalcDarwin[[#This Row],[Darwin Gusts
m/s]],0.5)</f>
        <v>4.5</v>
      </c>
      <c r="K37" s="47">
        <f>CEILING('Plantilla Datos'!$L$4*TBL_CalcDarwin[[#This Row],[Darwin Gusts
m/s]],0.5)</f>
        <v>5</v>
      </c>
      <c r="L37" s="47">
        <f>CEILING(TBL_CalcDarwin[[#This Row],[Darwin Gusts
m/s]],0.5)</f>
        <v>6</v>
      </c>
      <c r="M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37" s="41">
        <f>INDEX(Curva_Temp[Temp],MATCH(TBL_CalcDarwin[[#This Row],[Darwin Temp.
°C]],Curva_Temp[Temp]))</f>
        <v>15</v>
      </c>
      <c r="R37" s="41">
        <f>INDEX(Curva_Temp[Warranted Power Curve for 
1.194Kg/m3 air density '[kW']
SG 5.0-145 (AM+1, 5.2MW) AT 
90M],MATCH(TBL_CalcDarwin[[#This Row],[Darwin Temp.
°C]],Curva_Temp[Temp]))</f>
        <v>5200</v>
      </c>
      <c r="S37" s="41" cm="1">
        <f t="array" ref="S37">INDEX(Curva_Temp[Temp],MATCH(TBL_CalcDarwin[[#This Row],[Darwin Temp.
°C]],Curva_Temp[Temp])+1)</f>
        <v>20</v>
      </c>
      <c r="T37" s="41" cm="1">
        <f t="array" ref="T37">INDEX(Curva_Temp[Warranted Power Curve for 
1.194Kg/m3 air density '[kW']
SG 5.0-145 (AM+1, 5.2MW) AT 
90M],MATCH(TBL_CalcDarwin[[#This Row],[Darwin Temp.
°C]],Curva_Temp[Temp])+1)</f>
        <v>5000</v>
      </c>
      <c r="U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37" s="41">
        <f>INDEX(Curva_Temp[Temp],MATCH(TBL_CalcDarwin[[#This Row],[Darwin Temp.
°C]],Curva_Temp[Temp]))</f>
        <v>15</v>
      </c>
      <c r="Z37" s="41">
        <f>INDEX(Curva_Temp[Warranted Power Curve for 
1.194Kg/m3 air density '[kW']
SG 5.0-145 (AM 0, 5.0MW) AT 
90M],MATCH(TBL_CalcDarwin[[#This Row],[Darwin Temp.
°C]],Curva_Temp[Temp]))</f>
        <v>5000</v>
      </c>
      <c r="AA37" s="41" cm="1">
        <f t="array" ref="AA37">INDEX(Curva_Temp[Temp],MATCH(TBL_CalcDarwin[[#This Row],[Darwin Temp.
°C]],Curva_Temp[Temp])+1)</f>
        <v>20</v>
      </c>
      <c r="AB37" s="41" cm="1">
        <f t="array" ref="AB37">INDEX(Curva_Temp[Warranted Power Curve for 
1.194Kg/m3 air density '[kW']
SG 5.0-145 (AM 0, 5.0MW) AT 
90M],MATCH(TBL_CalcDarwin[[#This Row],[Darwin Temp.
°C]],Curva_Temp[Temp])+1)</f>
        <v>5000</v>
      </c>
      <c r="AC37" s="45">
        <f>HLOOKUP(TBL_CalcDarwin[[#This Row],[Fecha]],'Plantilla AEG ES'!$E$1:$HX$13,2,FALSE)</f>
        <v>6</v>
      </c>
      <c r="AD37" s="45">
        <f>HLOOKUP(TBL_CalcDarwin[[#This Row],[Fecha]],'Plantilla AEG ES'!$E$1:$HX$13,3,FALSE)</f>
        <v>7</v>
      </c>
      <c r="AE37" s="45">
        <f>HLOOKUP(TBL_CalcDarwin[[#This Row],[Fecha]],'Plantilla AEG ES'!$E$1:$HX$13,4,FALSE)</f>
        <v>9</v>
      </c>
      <c r="AF37" s="45">
        <f>HLOOKUP(TBL_CalcDarwin[[#This Row],[Fecha]],'Plantilla AEG ES'!$E$1:$HX$13,5,FALSE)</f>
        <v>2</v>
      </c>
      <c r="AG37" s="45">
        <f>HLOOKUP(TBL_CalcDarwin[[#This Row],[Fecha]],'Plantilla AEG ES'!$E$1:$HX$13,6,FALSE)</f>
        <v>1</v>
      </c>
      <c r="AH37" s="45">
        <f>HLOOKUP(TBL_CalcDarwin[[#This Row],[Fecha]],'Plantilla AEG ES'!$E$1:$HX$13,7,FALSE)</f>
        <v>0</v>
      </c>
      <c r="AI37" s="46">
        <f>HLOOKUP(TBL_CalcDarwin[[#This Row],[Fecha]],'Plantilla AEG ES'!$E$1:$HX$13,8,FALSE)</f>
        <v>0</v>
      </c>
      <c r="AJ37" s="46">
        <f>HLOOKUP(TBL_CalcDarwin[[#This Row],[Fecha]],'Plantilla AEG ES'!$E$1:$HX$13,9,FALSE)</f>
        <v>1</v>
      </c>
      <c r="AK37" s="46">
        <f>HLOOKUP(TBL_CalcDarwin[[#This Row],[Fecha]],'Plantilla AEG ES'!$E$1:$HX$13,10,FALSE)</f>
        <v>12</v>
      </c>
      <c r="AL37" s="46">
        <f>HLOOKUP(TBL_CalcDarwin[[#This Row],[Fecha]],'Plantilla AEG ES'!$E$1:$HX$13,11,FALSE)</f>
        <v>1</v>
      </c>
      <c r="AM37" s="46">
        <f>HLOOKUP(TBL_CalcDarwin[[#This Row],[Fecha]],'Plantilla AEG ES'!$E$1:$HX$13,12,FALSE)</f>
        <v>5</v>
      </c>
      <c r="AN37" s="46">
        <f>HLOOKUP(TBL_CalcDarwin[[#This Row],[Fecha]],'Plantilla AEG ES'!$E$1:$HX$13,13,FALSE)</f>
        <v>3</v>
      </c>
      <c r="AO37" s="37">
        <f>TBL_CalcDarwin[[#This Row],[Lomitas - Barra A - 5.2 - Cerro]]+TBL_CalcDarwin[[#This Row],[Lomitas - Barra A - 5.2 - Medio]]+TBL_CalcDarwin[[#This Row],[Lomitas - Barra A - 5.2 - Mar]]</f>
        <v>22</v>
      </c>
      <c r="AP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14.968</v>
      </c>
      <c r="AR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17.624000000000002</v>
      </c>
      <c r="AS37" s="37">
        <f>TBL_CalcDarwin[[#This Row],[Expansión - Barra A - 5.2 - Cerro]]+TBL_CalcDarwin[[#This Row],[Expansión - Barra A - 5.2 - Medio]]+TBL_CalcDarwin[[#This Row],[Expansión - Barra A - 5.2 - Mar]]</f>
        <v>3</v>
      </c>
      <c r="AT37" s="37">
        <f>TBL_CalcDarwin[[#This Row],[Expansión - Barra B - 5.2 - Cerro]]</f>
        <v>3</v>
      </c>
      <c r="AU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1.3109999999999999</v>
      </c>
      <c r="AV37" s="29">
        <f>TBL_CalcDarwin[[#This Row],[Expansión - Barra B - 5.2 - Cerro]]*TBL_CalcDarwin[[#This Row],[AEG 5.2 MW Cerro]]</f>
        <v>1.1459999999999999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5">
        <f t="shared" si="0"/>
        <v>45585.49999999992</v>
      </c>
      <c r="C38" s="17">
        <f t="shared" si="3"/>
        <v>1.5000000000000004</v>
      </c>
      <c r="D38" s="34">
        <f>TBL_CalcDarwin[[#This Row],[Darwin PLOM
MW]]+TBL_CalcDarwin[[#This Row],[Darwin PLOME
MW]]</f>
        <v>44.189</v>
      </c>
      <c r="E38" s="34">
        <f>TBL_CalcDarwin[[#This Row],[PLOM MW TOTAL BARRA A]]+TBL_CalcDarwin[[#This Row],[PLOM MW TOTAL BARRA B]]</f>
        <v>41.533999999999999</v>
      </c>
      <c r="F38" s="34">
        <f>TBL_CalcDarwin[[#This Row],[PLOME MW TOTAL BARRA A]]+TBL_CalcDarwin[[#This Row],[PLOME MW TOTAL BARRA B]]</f>
        <v>2.6549999999999998</v>
      </c>
      <c r="G38" s="48">
        <f>'Plantilla Datos'!D43</f>
        <v>4.8</v>
      </c>
      <c r="H38" s="48">
        <f>'Plantilla Datos'!E43</f>
        <v>6.2</v>
      </c>
      <c r="I38" s="49">
        <f>'Plantilla Datos'!F43</f>
        <v>18</v>
      </c>
      <c r="J38" s="47">
        <f>CEILING('Plantilla Datos'!$L$3*TBL_CalcDarwin[[#This Row],[Darwin Gusts
m/s]],0.5)</f>
        <v>4.5</v>
      </c>
      <c r="K38" s="47">
        <f>CEILING('Plantilla Datos'!$L$4*TBL_CalcDarwin[[#This Row],[Darwin Gusts
m/s]],0.5)</f>
        <v>5.5</v>
      </c>
      <c r="L38" s="47">
        <f>CEILING(TBL_CalcDarwin[[#This Row],[Darwin Gusts
m/s]],0.5)</f>
        <v>6.5</v>
      </c>
      <c r="M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38" s="41">
        <f>INDEX(Curva_Temp[Temp],MATCH(TBL_CalcDarwin[[#This Row],[Darwin Temp.
°C]],Curva_Temp[Temp]))</f>
        <v>15</v>
      </c>
      <c r="R38" s="41">
        <f>INDEX(Curva_Temp[Warranted Power Curve for 
1.194Kg/m3 air density '[kW']
SG 5.0-145 (AM+1, 5.2MW) AT 
90M],MATCH(TBL_CalcDarwin[[#This Row],[Darwin Temp.
°C]],Curva_Temp[Temp]))</f>
        <v>5200</v>
      </c>
      <c r="S38" s="41" cm="1">
        <f t="array" ref="S38">INDEX(Curva_Temp[Temp],MATCH(TBL_CalcDarwin[[#This Row],[Darwin Temp.
°C]],Curva_Temp[Temp])+1)</f>
        <v>20</v>
      </c>
      <c r="T38" s="41" cm="1">
        <f t="array" ref="T38">INDEX(Curva_Temp[Warranted Power Curve for 
1.194Kg/m3 air density '[kW']
SG 5.0-145 (AM+1, 5.2MW) AT 
90M],MATCH(TBL_CalcDarwin[[#This Row],[Darwin Temp.
°C]],Curva_Temp[Temp])+1)</f>
        <v>5000</v>
      </c>
      <c r="U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38" s="41">
        <f>INDEX(Curva_Temp[Temp],MATCH(TBL_CalcDarwin[[#This Row],[Darwin Temp.
°C]],Curva_Temp[Temp]))</f>
        <v>15</v>
      </c>
      <c r="Z38" s="41">
        <f>INDEX(Curva_Temp[Warranted Power Curve for 
1.194Kg/m3 air density '[kW']
SG 5.0-145 (AM 0, 5.0MW) AT 
90M],MATCH(TBL_CalcDarwin[[#This Row],[Darwin Temp.
°C]],Curva_Temp[Temp]))</f>
        <v>5000</v>
      </c>
      <c r="AA38" s="41" cm="1">
        <f t="array" ref="AA38">INDEX(Curva_Temp[Temp],MATCH(TBL_CalcDarwin[[#This Row],[Darwin Temp.
°C]],Curva_Temp[Temp])+1)</f>
        <v>20</v>
      </c>
      <c r="AB38" s="41" cm="1">
        <f t="array" ref="AB38">INDEX(Curva_Temp[Warranted Power Curve for 
1.194Kg/m3 air density '[kW']
SG 5.0-145 (AM 0, 5.0MW) AT 
90M],MATCH(TBL_CalcDarwin[[#This Row],[Darwin Temp.
°C]],Curva_Temp[Temp])+1)</f>
        <v>5000</v>
      </c>
      <c r="AC38" s="45">
        <f>HLOOKUP(TBL_CalcDarwin[[#This Row],[Fecha]],'Plantilla AEG ES'!$E$1:$HX$13,2,FALSE)</f>
        <v>6</v>
      </c>
      <c r="AD38" s="45">
        <f>HLOOKUP(TBL_CalcDarwin[[#This Row],[Fecha]],'Plantilla AEG ES'!$E$1:$HX$13,3,FALSE)</f>
        <v>7</v>
      </c>
      <c r="AE38" s="45">
        <f>HLOOKUP(TBL_CalcDarwin[[#This Row],[Fecha]],'Plantilla AEG ES'!$E$1:$HX$13,4,FALSE)</f>
        <v>9</v>
      </c>
      <c r="AF38" s="45">
        <f>HLOOKUP(TBL_CalcDarwin[[#This Row],[Fecha]],'Plantilla AEG ES'!$E$1:$HX$13,5,FALSE)</f>
        <v>2</v>
      </c>
      <c r="AG38" s="45">
        <f>HLOOKUP(TBL_CalcDarwin[[#This Row],[Fecha]],'Plantilla AEG ES'!$E$1:$HX$13,6,FALSE)</f>
        <v>1</v>
      </c>
      <c r="AH38" s="45">
        <f>HLOOKUP(TBL_CalcDarwin[[#This Row],[Fecha]],'Plantilla AEG ES'!$E$1:$HX$13,7,FALSE)</f>
        <v>0</v>
      </c>
      <c r="AI38" s="46">
        <f>HLOOKUP(TBL_CalcDarwin[[#This Row],[Fecha]],'Plantilla AEG ES'!$E$1:$HX$13,8,FALSE)</f>
        <v>0</v>
      </c>
      <c r="AJ38" s="46">
        <f>HLOOKUP(TBL_CalcDarwin[[#This Row],[Fecha]],'Plantilla AEG ES'!$E$1:$HX$13,9,FALSE)</f>
        <v>1</v>
      </c>
      <c r="AK38" s="46">
        <f>HLOOKUP(TBL_CalcDarwin[[#This Row],[Fecha]],'Plantilla AEG ES'!$E$1:$HX$13,10,FALSE)</f>
        <v>12</v>
      </c>
      <c r="AL38" s="46">
        <f>HLOOKUP(TBL_CalcDarwin[[#This Row],[Fecha]],'Plantilla AEG ES'!$E$1:$HX$13,11,FALSE)</f>
        <v>1</v>
      </c>
      <c r="AM38" s="46">
        <f>HLOOKUP(TBL_CalcDarwin[[#This Row],[Fecha]],'Plantilla AEG ES'!$E$1:$HX$13,12,FALSE)</f>
        <v>5</v>
      </c>
      <c r="AN38" s="46">
        <f>HLOOKUP(TBL_CalcDarwin[[#This Row],[Fecha]],'Plantilla AEG ES'!$E$1:$HX$13,13,FALSE)</f>
        <v>3</v>
      </c>
      <c r="AO38" s="37">
        <f>TBL_CalcDarwin[[#This Row],[Lomitas - Barra A - 5.2 - Cerro]]+TBL_CalcDarwin[[#This Row],[Lomitas - Barra A - 5.2 - Medio]]+TBL_CalcDarwin[[#This Row],[Lomitas - Barra A - 5.2 - Mar]]</f>
        <v>22</v>
      </c>
      <c r="AP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18.901</v>
      </c>
      <c r="AR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22.632999999999999</v>
      </c>
      <c r="AS38" s="37">
        <f>TBL_CalcDarwin[[#This Row],[Expansión - Barra A - 5.2 - Cerro]]+TBL_CalcDarwin[[#This Row],[Expansión - Barra A - 5.2 - Medio]]+TBL_CalcDarwin[[#This Row],[Expansión - Barra A - 5.2 - Mar]]</f>
        <v>3</v>
      </c>
      <c r="AT38" s="37">
        <f>TBL_CalcDarwin[[#This Row],[Expansión - Barra B - 5.2 - Cerro]]</f>
        <v>3</v>
      </c>
      <c r="AU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38" s="29">
        <f>TBL_CalcDarwin[[#This Row],[Expansión - Barra B - 5.2 - Cerro]]*TBL_CalcDarwin[[#This Row],[AEG 5.2 MW Cerro]]</f>
        <v>1.1459999999999999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5">
        <f t="shared" si="0"/>
        <v>45585.541666666584</v>
      </c>
      <c r="C39" s="17">
        <f t="shared" si="3"/>
        <v>1.5416666666666672</v>
      </c>
      <c r="D39" s="34">
        <f>TBL_CalcDarwin[[#This Row],[Darwin PLOM
MW]]+TBL_CalcDarwin[[#This Row],[Darwin PLOME
MW]]</f>
        <v>56.915000000000006</v>
      </c>
      <c r="E39" s="34">
        <f>TBL_CalcDarwin[[#This Row],[PLOM MW TOTAL BARRA A]]+TBL_CalcDarwin[[#This Row],[PLOM MW TOTAL BARRA B]]</f>
        <v>53.197000000000003</v>
      </c>
      <c r="F39" s="34">
        <f>TBL_CalcDarwin[[#This Row],[PLOME MW TOTAL BARRA A]]+TBL_CalcDarwin[[#This Row],[PLOME MW TOTAL BARRA B]]</f>
        <v>3.718</v>
      </c>
      <c r="G39" s="48">
        <f>'Plantilla Datos'!D44</f>
        <v>5.0999999999999996</v>
      </c>
      <c r="H39" s="48">
        <f>'Plantilla Datos'!E44</f>
        <v>6.9</v>
      </c>
      <c r="I39" s="49">
        <f>'Plantilla Datos'!F44</f>
        <v>18.100000000000001</v>
      </c>
      <c r="J39" s="47">
        <f>CEILING('Plantilla Datos'!$L$3*TBL_CalcDarwin[[#This Row],[Darwin Gusts
m/s]],0.5)</f>
        <v>5</v>
      </c>
      <c r="K39" s="47">
        <f>CEILING('Plantilla Datos'!$L$4*TBL_CalcDarwin[[#This Row],[Darwin Gusts
m/s]],0.5)</f>
        <v>6</v>
      </c>
      <c r="L39" s="47">
        <f>CEILING(TBL_CalcDarwin[[#This Row],[Darwin Gusts
m/s]],0.5)</f>
        <v>7</v>
      </c>
      <c r="M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39" s="41">
        <f>INDEX(Curva_Temp[Temp],MATCH(TBL_CalcDarwin[[#This Row],[Darwin Temp.
°C]],Curva_Temp[Temp]))</f>
        <v>15</v>
      </c>
      <c r="R39" s="41">
        <f>INDEX(Curva_Temp[Warranted Power Curve for 
1.194Kg/m3 air density '[kW']
SG 5.0-145 (AM+1, 5.2MW) AT 
90M],MATCH(TBL_CalcDarwin[[#This Row],[Darwin Temp.
°C]],Curva_Temp[Temp]))</f>
        <v>5200</v>
      </c>
      <c r="S39" s="41" cm="1">
        <f t="array" ref="S39">INDEX(Curva_Temp[Temp],MATCH(TBL_CalcDarwin[[#This Row],[Darwin Temp.
°C]],Curva_Temp[Temp])+1)</f>
        <v>20</v>
      </c>
      <c r="T39" s="41" cm="1">
        <f t="array" ref="T39">INDEX(Curva_Temp[Warranted Power Curve for 
1.194Kg/m3 air density '[kW']
SG 5.0-145 (AM+1, 5.2MW) AT 
90M],MATCH(TBL_CalcDarwin[[#This Row],[Darwin Temp.
°C]],Curva_Temp[Temp])+1)</f>
        <v>5000</v>
      </c>
      <c r="U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39" s="41">
        <f>INDEX(Curva_Temp[Temp],MATCH(TBL_CalcDarwin[[#This Row],[Darwin Temp.
°C]],Curva_Temp[Temp]))</f>
        <v>15</v>
      </c>
      <c r="Z39" s="41">
        <f>INDEX(Curva_Temp[Warranted Power Curve for 
1.194Kg/m3 air density '[kW']
SG 5.0-145 (AM 0, 5.0MW) AT 
90M],MATCH(TBL_CalcDarwin[[#This Row],[Darwin Temp.
°C]],Curva_Temp[Temp]))</f>
        <v>5000</v>
      </c>
      <c r="AA39" s="41" cm="1">
        <f t="array" ref="AA39">INDEX(Curva_Temp[Temp],MATCH(TBL_CalcDarwin[[#This Row],[Darwin Temp.
°C]],Curva_Temp[Temp])+1)</f>
        <v>20</v>
      </c>
      <c r="AB39" s="41" cm="1">
        <f t="array" ref="AB39">INDEX(Curva_Temp[Warranted Power Curve for 
1.194Kg/m3 air density '[kW']
SG 5.0-145 (AM 0, 5.0MW) AT 
90M],MATCH(TBL_CalcDarwin[[#This Row],[Darwin Temp.
°C]],Curva_Temp[Temp])+1)</f>
        <v>5000</v>
      </c>
      <c r="AC39" s="45">
        <f>HLOOKUP(TBL_CalcDarwin[[#This Row],[Fecha]],'Plantilla AEG ES'!$E$1:$HX$13,2,FALSE)</f>
        <v>6</v>
      </c>
      <c r="AD39" s="45">
        <f>HLOOKUP(TBL_CalcDarwin[[#This Row],[Fecha]],'Plantilla AEG ES'!$E$1:$HX$13,3,FALSE)</f>
        <v>7</v>
      </c>
      <c r="AE39" s="45">
        <f>HLOOKUP(TBL_CalcDarwin[[#This Row],[Fecha]],'Plantilla AEG ES'!$E$1:$HX$13,4,FALSE)</f>
        <v>9</v>
      </c>
      <c r="AF39" s="45">
        <f>HLOOKUP(TBL_CalcDarwin[[#This Row],[Fecha]],'Plantilla AEG ES'!$E$1:$HX$13,5,FALSE)</f>
        <v>2</v>
      </c>
      <c r="AG39" s="45">
        <f>HLOOKUP(TBL_CalcDarwin[[#This Row],[Fecha]],'Plantilla AEG ES'!$E$1:$HX$13,6,FALSE)</f>
        <v>1</v>
      </c>
      <c r="AH39" s="45">
        <f>HLOOKUP(TBL_CalcDarwin[[#This Row],[Fecha]],'Plantilla AEG ES'!$E$1:$HX$13,7,FALSE)</f>
        <v>0</v>
      </c>
      <c r="AI39" s="46">
        <f>HLOOKUP(TBL_CalcDarwin[[#This Row],[Fecha]],'Plantilla AEG ES'!$E$1:$HX$13,8,FALSE)</f>
        <v>0</v>
      </c>
      <c r="AJ39" s="46">
        <f>HLOOKUP(TBL_CalcDarwin[[#This Row],[Fecha]],'Plantilla AEG ES'!$E$1:$HX$13,9,FALSE)</f>
        <v>1</v>
      </c>
      <c r="AK39" s="46">
        <f>HLOOKUP(TBL_CalcDarwin[[#This Row],[Fecha]],'Plantilla AEG ES'!$E$1:$HX$13,10,FALSE)</f>
        <v>12</v>
      </c>
      <c r="AL39" s="46">
        <f>HLOOKUP(TBL_CalcDarwin[[#This Row],[Fecha]],'Plantilla AEG ES'!$E$1:$HX$13,11,FALSE)</f>
        <v>1</v>
      </c>
      <c r="AM39" s="46">
        <f>HLOOKUP(TBL_CalcDarwin[[#This Row],[Fecha]],'Plantilla AEG ES'!$E$1:$HX$13,12,FALSE)</f>
        <v>5</v>
      </c>
      <c r="AN39" s="46">
        <f>HLOOKUP(TBL_CalcDarwin[[#This Row],[Fecha]],'Plantilla AEG ES'!$E$1:$HX$13,13,FALSE)</f>
        <v>3</v>
      </c>
      <c r="AO39" s="37">
        <f>TBL_CalcDarwin[[#This Row],[Lomitas - Barra A - 5.2 - Cerro]]+TBL_CalcDarwin[[#This Row],[Lomitas - Barra A - 5.2 - Medio]]+TBL_CalcDarwin[[#This Row],[Lomitas - Barra A - 5.2 - Mar]]</f>
        <v>22</v>
      </c>
      <c r="AP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24.536000000000001</v>
      </c>
      <c r="AR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28.661000000000001</v>
      </c>
      <c r="AS39" s="37">
        <f>TBL_CalcDarwin[[#This Row],[Expansión - Barra A - 5.2 - Cerro]]+TBL_CalcDarwin[[#This Row],[Expansión - Barra A - 5.2 - Medio]]+TBL_CalcDarwin[[#This Row],[Expansión - Barra A - 5.2 - Mar]]</f>
        <v>3</v>
      </c>
      <c r="AT39" s="37">
        <f>TBL_CalcDarwin[[#This Row],[Expansión - Barra B - 5.2 - Cerro]]</f>
        <v>3</v>
      </c>
      <c r="AU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39" s="29">
        <f>TBL_CalcDarwin[[#This Row],[Expansión - Barra B - 5.2 - Cerro]]*TBL_CalcDarwin[[#This Row],[AEG 5.2 MW Cerro]]</f>
        <v>1.641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5">
        <f t="shared" si="0"/>
        <v>45585.583333333248</v>
      </c>
      <c r="C40" s="17">
        <f t="shared" si="3"/>
        <v>1.5833333333333339</v>
      </c>
      <c r="D40" s="34">
        <f>TBL_CalcDarwin[[#This Row],[Darwin PLOM
MW]]+TBL_CalcDarwin[[#This Row],[Darwin PLOME
MW]]</f>
        <v>56.915000000000006</v>
      </c>
      <c r="E40" s="34">
        <f>TBL_CalcDarwin[[#This Row],[PLOM MW TOTAL BARRA A]]+TBL_CalcDarwin[[#This Row],[PLOM MW TOTAL BARRA B]]</f>
        <v>53.197000000000003</v>
      </c>
      <c r="F40" s="34">
        <f>TBL_CalcDarwin[[#This Row],[PLOME MW TOTAL BARRA A]]+TBL_CalcDarwin[[#This Row],[PLOME MW TOTAL BARRA B]]</f>
        <v>3.718</v>
      </c>
      <c r="G40" s="48">
        <f>'Plantilla Datos'!D45</f>
        <v>5.4</v>
      </c>
      <c r="H40" s="48">
        <f>'Plantilla Datos'!E45</f>
        <v>6.9</v>
      </c>
      <c r="I40" s="49">
        <f>'Plantilla Datos'!F45</f>
        <v>17.8</v>
      </c>
      <c r="J40" s="47">
        <f>CEILING('Plantilla Datos'!$L$3*TBL_CalcDarwin[[#This Row],[Darwin Gusts
m/s]],0.5)</f>
        <v>5</v>
      </c>
      <c r="K40" s="47">
        <f>CEILING('Plantilla Datos'!$L$4*TBL_CalcDarwin[[#This Row],[Darwin Gusts
m/s]],0.5)</f>
        <v>6</v>
      </c>
      <c r="L40" s="47">
        <f>CEILING(TBL_CalcDarwin[[#This Row],[Darwin Gusts
m/s]],0.5)</f>
        <v>7</v>
      </c>
      <c r="M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40" s="41">
        <f>INDEX(Curva_Temp[Temp],MATCH(TBL_CalcDarwin[[#This Row],[Darwin Temp.
°C]],Curva_Temp[Temp]))</f>
        <v>15</v>
      </c>
      <c r="R40" s="41">
        <f>INDEX(Curva_Temp[Warranted Power Curve for 
1.194Kg/m3 air density '[kW']
SG 5.0-145 (AM+1, 5.2MW) AT 
90M],MATCH(TBL_CalcDarwin[[#This Row],[Darwin Temp.
°C]],Curva_Temp[Temp]))</f>
        <v>5200</v>
      </c>
      <c r="S40" s="41" cm="1">
        <f t="array" ref="S40">INDEX(Curva_Temp[Temp],MATCH(TBL_CalcDarwin[[#This Row],[Darwin Temp.
°C]],Curva_Temp[Temp])+1)</f>
        <v>20</v>
      </c>
      <c r="T40" s="41" cm="1">
        <f t="array" ref="T40">INDEX(Curva_Temp[Warranted Power Curve for 
1.194Kg/m3 air density '[kW']
SG 5.0-145 (AM+1, 5.2MW) AT 
90M],MATCH(TBL_CalcDarwin[[#This Row],[Darwin Temp.
°C]],Curva_Temp[Temp])+1)</f>
        <v>5000</v>
      </c>
      <c r="U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40" s="41">
        <f>INDEX(Curva_Temp[Temp],MATCH(TBL_CalcDarwin[[#This Row],[Darwin Temp.
°C]],Curva_Temp[Temp]))</f>
        <v>15</v>
      </c>
      <c r="Z40" s="41">
        <f>INDEX(Curva_Temp[Warranted Power Curve for 
1.194Kg/m3 air density '[kW']
SG 5.0-145 (AM 0, 5.0MW) AT 
90M],MATCH(TBL_CalcDarwin[[#This Row],[Darwin Temp.
°C]],Curva_Temp[Temp]))</f>
        <v>5000</v>
      </c>
      <c r="AA40" s="41" cm="1">
        <f t="array" ref="AA40">INDEX(Curva_Temp[Temp],MATCH(TBL_CalcDarwin[[#This Row],[Darwin Temp.
°C]],Curva_Temp[Temp])+1)</f>
        <v>20</v>
      </c>
      <c r="AB40" s="41" cm="1">
        <f t="array" ref="AB40">INDEX(Curva_Temp[Warranted Power Curve for 
1.194Kg/m3 air density '[kW']
SG 5.0-145 (AM 0, 5.0MW) AT 
90M],MATCH(TBL_CalcDarwin[[#This Row],[Darwin Temp.
°C]],Curva_Temp[Temp])+1)</f>
        <v>5000</v>
      </c>
      <c r="AC40" s="45">
        <f>HLOOKUP(TBL_CalcDarwin[[#This Row],[Fecha]],'Plantilla AEG ES'!$E$1:$HX$13,2,FALSE)</f>
        <v>6</v>
      </c>
      <c r="AD40" s="45">
        <f>HLOOKUP(TBL_CalcDarwin[[#This Row],[Fecha]],'Plantilla AEG ES'!$E$1:$HX$13,3,FALSE)</f>
        <v>7</v>
      </c>
      <c r="AE40" s="45">
        <f>HLOOKUP(TBL_CalcDarwin[[#This Row],[Fecha]],'Plantilla AEG ES'!$E$1:$HX$13,4,FALSE)</f>
        <v>9</v>
      </c>
      <c r="AF40" s="45">
        <f>HLOOKUP(TBL_CalcDarwin[[#This Row],[Fecha]],'Plantilla AEG ES'!$E$1:$HX$13,5,FALSE)</f>
        <v>2</v>
      </c>
      <c r="AG40" s="45">
        <f>HLOOKUP(TBL_CalcDarwin[[#This Row],[Fecha]],'Plantilla AEG ES'!$E$1:$HX$13,6,FALSE)</f>
        <v>1</v>
      </c>
      <c r="AH40" s="45">
        <f>HLOOKUP(TBL_CalcDarwin[[#This Row],[Fecha]],'Plantilla AEG ES'!$E$1:$HX$13,7,FALSE)</f>
        <v>0</v>
      </c>
      <c r="AI40" s="46">
        <f>HLOOKUP(TBL_CalcDarwin[[#This Row],[Fecha]],'Plantilla AEG ES'!$E$1:$HX$13,8,FALSE)</f>
        <v>0</v>
      </c>
      <c r="AJ40" s="46">
        <f>HLOOKUP(TBL_CalcDarwin[[#This Row],[Fecha]],'Plantilla AEG ES'!$E$1:$HX$13,9,FALSE)</f>
        <v>1</v>
      </c>
      <c r="AK40" s="46">
        <f>HLOOKUP(TBL_CalcDarwin[[#This Row],[Fecha]],'Plantilla AEG ES'!$E$1:$HX$13,10,FALSE)</f>
        <v>12</v>
      </c>
      <c r="AL40" s="46">
        <f>HLOOKUP(TBL_CalcDarwin[[#This Row],[Fecha]],'Plantilla AEG ES'!$E$1:$HX$13,11,FALSE)</f>
        <v>1</v>
      </c>
      <c r="AM40" s="46">
        <f>HLOOKUP(TBL_CalcDarwin[[#This Row],[Fecha]],'Plantilla AEG ES'!$E$1:$HX$13,12,FALSE)</f>
        <v>5</v>
      </c>
      <c r="AN40" s="46">
        <f>HLOOKUP(TBL_CalcDarwin[[#This Row],[Fecha]],'Plantilla AEG ES'!$E$1:$HX$13,13,FALSE)</f>
        <v>3</v>
      </c>
      <c r="AO40" s="37">
        <f>TBL_CalcDarwin[[#This Row],[Lomitas - Barra A - 5.2 - Cerro]]+TBL_CalcDarwin[[#This Row],[Lomitas - Barra A - 5.2 - Medio]]+TBL_CalcDarwin[[#This Row],[Lomitas - Barra A - 5.2 - Mar]]</f>
        <v>22</v>
      </c>
      <c r="AP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24.536000000000001</v>
      </c>
      <c r="AR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28.661000000000001</v>
      </c>
      <c r="AS40" s="37">
        <f>TBL_CalcDarwin[[#This Row],[Expansión - Barra A - 5.2 - Cerro]]+TBL_CalcDarwin[[#This Row],[Expansión - Barra A - 5.2 - Medio]]+TBL_CalcDarwin[[#This Row],[Expansión - Barra A - 5.2 - Mar]]</f>
        <v>3</v>
      </c>
      <c r="AT40" s="37">
        <f>TBL_CalcDarwin[[#This Row],[Expansión - Barra B - 5.2 - Cerro]]</f>
        <v>3</v>
      </c>
      <c r="AU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40" s="29">
        <f>TBL_CalcDarwin[[#This Row],[Expansión - Barra B - 5.2 - Cerro]]*TBL_CalcDarwin[[#This Row],[AEG 5.2 MW Cerro]]</f>
        <v>1.641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5">
        <f t="shared" si="0"/>
        <v>45585.624999999913</v>
      </c>
      <c r="C41" s="17">
        <f t="shared" si="3"/>
        <v>1.6250000000000007</v>
      </c>
      <c r="D41" s="34">
        <f>TBL_CalcDarwin[[#This Row],[Darwin PLOM
MW]]+TBL_CalcDarwin[[#This Row],[Darwin PLOME
MW]]</f>
        <v>71.733000000000004</v>
      </c>
      <c r="E41" s="34">
        <f>TBL_CalcDarwin[[#This Row],[PLOM MW TOTAL BARRA A]]+TBL_CalcDarwin[[#This Row],[PLOM MW TOTAL BARRA B]]</f>
        <v>66.742000000000004</v>
      </c>
      <c r="F41" s="34">
        <f>TBL_CalcDarwin[[#This Row],[PLOME MW TOTAL BARRA A]]+TBL_CalcDarwin[[#This Row],[PLOME MW TOTAL BARRA B]]</f>
        <v>4.9909999999999997</v>
      </c>
      <c r="G41" s="48">
        <f>'Plantilla Datos'!D46</f>
        <v>5.8</v>
      </c>
      <c r="H41" s="48">
        <f>'Plantilla Datos'!E46</f>
        <v>7.3</v>
      </c>
      <c r="I41" s="49">
        <f>'Plantilla Datos'!F46</f>
        <v>17.5</v>
      </c>
      <c r="J41" s="47">
        <f>CEILING('Plantilla Datos'!$L$3*TBL_CalcDarwin[[#This Row],[Darwin Gusts
m/s]],0.5)</f>
        <v>5.5</v>
      </c>
      <c r="K41" s="47">
        <f>CEILING('Plantilla Datos'!$L$4*TBL_CalcDarwin[[#This Row],[Darwin Gusts
m/s]],0.5)</f>
        <v>6.5</v>
      </c>
      <c r="L41" s="47">
        <f>CEILING(TBL_CalcDarwin[[#This Row],[Darwin Gusts
m/s]],0.5)</f>
        <v>7.5</v>
      </c>
      <c r="M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41" s="41">
        <f>INDEX(Curva_Temp[Temp],MATCH(TBL_CalcDarwin[[#This Row],[Darwin Temp.
°C]],Curva_Temp[Temp]))</f>
        <v>15</v>
      </c>
      <c r="R41" s="41">
        <f>INDEX(Curva_Temp[Warranted Power Curve for 
1.194Kg/m3 air density '[kW']
SG 5.0-145 (AM+1, 5.2MW) AT 
90M],MATCH(TBL_CalcDarwin[[#This Row],[Darwin Temp.
°C]],Curva_Temp[Temp]))</f>
        <v>5200</v>
      </c>
      <c r="S41" s="41" cm="1">
        <f t="array" ref="S41">INDEX(Curva_Temp[Temp],MATCH(TBL_CalcDarwin[[#This Row],[Darwin Temp.
°C]],Curva_Temp[Temp])+1)</f>
        <v>20</v>
      </c>
      <c r="T41" s="41" cm="1">
        <f t="array" ref="T41">INDEX(Curva_Temp[Warranted Power Curve for 
1.194Kg/m3 air density '[kW']
SG 5.0-145 (AM+1, 5.2MW) AT 
90M],MATCH(TBL_CalcDarwin[[#This Row],[Darwin Temp.
°C]],Curva_Temp[Temp])+1)</f>
        <v>5000</v>
      </c>
      <c r="U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41" s="41">
        <f>INDEX(Curva_Temp[Temp],MATCH(TBL_CalcDarwin[[#This Row],[Darwin Temp.
°C]],Curva_Temp[Temp]))</f>
        <v>15</v>
      </c>
      <c r="Z41" s="41">
        <f>INDEX(Curva_Temp[Warranted Power Curve for 
1.194Kg/m3 air density '[kW']
SG 5.0-145 (AM 0, 5.0MW) AT 
90M],MATCH(TBL_CalcDarwin[[#This Row],[Darwin Temp.
°C]],Curva_Temp[Temp]))</f>
        <v>5000</v>
      </c>
      <c r="AA41" s="41" cm="1">
        <f t="array" ref="AA41">INDEX(Curva_Temp[Temp],MATCH(TBL_CalcDarwin[[#This Row],[Darwin Temp.
°C]],Curva_Temp[Temp])+1)</f>
        <v>20</v>
      </c>
      <c r="AB41" s="41" cm="1">
        <f t="array" ref="AB41">INDEX(Curva_Temp[Warranted Power Curve for 
1.194Kg/m3 air density '[kW']
SG 5.0-145 (AM 0, 5.0MW) AT 
90M],MATCH(TBL_CalcDarwin[[#This Row],[Darwin Temp.
°C]],Curva_Temp[Temp])+1)</f>
        <v>5000</v>
      </c>
      <c r="AC41" s="45">
        <f>HLOOKUP(TBL_CalcDarwin[[#This Row],[Fecha]],'Plantilla AEG ES'!$E$1:$HX$13,2,FALSE)</f>
        <v>6</v>
      </c>
      <c r="AD41" s="45">
        <f>HLOOKUP(TBL_CalcDarwin[[#This Row],[Fecha]],'Plantilla AEG ES'!$E$1:$HX$13,3,FALSE)</f>
        <v>7</v>
      </c>
      <c r="AE41" s="45">
        <f>HLOOKUP(TBL_CalcDarwin[[#This Row],[Fecha]],'Plantilla AEG ES'!$E$1:$HX$13,4,FALSE)</f>
        <v>9</v>
      </c>
      <c r="AF41" s="45">
        <f>HLOOKUP(TBL_CalcDarwin[[#This Row],[Fecha]],'Plantilla AEG ES'!$E$1:$HX$13,5,FALSE)</f>
        <v>2</v>
      </c>
      <c r="AG41" s="45">
        <f>HLOOKUP(TBL_CalcDarwin[[#This Row],[Fecha]],'Plantilla AEG ES'!$E$1:$HX$13,6,FALSE)</f>
        <v>1</v>
      </c>
      <c r="AH41" s="45">
        <f>HLOOKUP(TBL_CalcDarwin[[#This Row],[Fecha]],'Plantilla AEG ES'!$E$1:$HX$13,7,FALSE)</f>
        <v>0</v>
      </c>
      <c r="AI41" s="46">
        <f>HLOOKUP(TBL_CalcDarwin[[#This Row],[Fecha]],'Plantilla AEG ES'!$E$1:$HX$13,8,FALSE)</f>
        <v>0</v>
      </c>
      <c r="AJ41" s="46">
        <f>HLOOKUP(TBL_CalcDarwin[[#This Row],[Fecha]],'Plantilla AEG ES'!$E$1:$HX$13,9,FALSE)</f>
        <v>1</v>
      </c>
      <c r="AK41" s="46">
        <f>HLOOKUP(TBL_CalcDarwin[[#This Row],[Fecha]],'Plantilla AEG ES'!$E$1:$HX$13,10,FALSE)</f>
        <v>12</v>
      </c>
      <c r="AL41" s="46">
        <f>HLOOKUP(TBL_CalcDarwin[[#This Row],[Fecha]],'Plantilla AEG ES'!$E$1:$HX$13,11,FALSE)</f>
        <v>1</v>
      </c>
      <c r="AM41" s="46">
        <f>HLOOKUP(TBL_CalcDarwin[[#This Row],[Fecha]],'Plantilla AEG ES'!$E$1:$HX$13,12,FALSE)</f>
        <v>5</v>
      </c>
      <c r="AN41" s="46">
        <f>HLOOKUP(TBL_CalcDarwin[[#This Row],[Fecha]],'Plantilla AEG ES'!$E$1:$HX$13,13,FALSE)</f>
        <v>3</v>
      </c>
      <c r="AO41" s="37">
        <f>TBL_CalcDarwin[[#This Row],[Lomitas - Barra A - 5.2 - Cerro]]+TBL_CalcDarwin[[#This Row],[Lomitas - Barra A - 5.2 - Medio]]+TBL_CalcDarwin[[#This Row],[Lomitas - Barra A - 5.2 - Mar]]</f>
        <v>22</v>
      </c>
      <c r="AP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31.134</v>
      </c>
      <c r="AR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35.608000000000004</v>
      </c>
      <c r="AS41" s="37">
        <f>TBL_CalcDarwin[[#This Row],[Expansión - Barra A - 5.2 - Cerro]]+TBL_CalcDarwin[[#This Row],[Expansión - Barra A - 5.2 - Medio]]+TBL_CalcDarwin[[#This Row],[Expansión - Barra A - 5.2 - Mar]]</f>
        <v>3</v>
      </c>
      <c r="AT41" s="37">
        <f>TBL_CalcDarwin[[#This Row],[Expansión - Barra B - 5.2 - Cerro]]</f>
        <v>3</v>
      </c>
      <c r="AU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41" s="29">
        <f>TBL_CalcDarwin[[#This Row],[Expansión - Barra B - 5.2 - Cerro]]*TBL_CalcDarwin[[#This Row],[AEG 5.2 MW Cerro]]</f>
        <v>2.2349999999999999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5">
        <f t="shared" si="0"/>
        <v>45585.666666666577</v>
      </c>
      <c r="C42" s="17">
        <f t="shared" si="3"/>
        <v>1.6666666666666674</v>
      </c>
      <c r="D42" s="34">
        <f>TBL_CalcDarwin[[#This Row],[Darwin PLOM
MW]]+TBL_CalcDarwin[[#This Row],[Darwin PLOME
MW]]</f>
        <v>88.746999999999986</v>
      </c>
      <c r="E42" s="34">
        <f>TBL_CalcDarwin[[#This Row],[PLOM MW TOTAL BARRA A]]+TBL_CalcDarwin[[#This Row],[PLOM MW TOTAL BARRA B]]</f>
        <v>82.234999999999985</v>
      </c>
      <c r="F42" s="34">
        <f>TBL_CalcDarwin[[#This Row],[PLOME MW TOTAL BARRA A]]+TBL_CalcDarwin[[#This Row],[PLOME MW TOTAL BARRA B]]</f>
        <v>6.5119999999999996</v>
      </c>
      <c r="G42" s="48">
        <f>'Plantilla Datos'!D47</f>
        <v>6.1</v>
      </c>
      <c r="H42" s="48">
        <f>'Plantilla Datos'!E47</f>
        <v>7.7</v>
      </c>
      <c r="I42" s="49">
        <f>'Plantilla Datos'!F47</f>
        <v>17.2</v>
      </c>
      <c r="J42" s="47">
        <f>CEILING('Plantilla Datos'!$L$3*TBL_CalcDarwin[[#This Row],[Darwin Gusts
m/s]],0.5)</f>
        <v>6</v>
      </c>
      <c r="K42" s="47">
        <f>CEILING('Plantilla Datos'!$L$4*TBL_CalcDarwin[[#This Row],[Darwin Gusts
m/s]],0.5)</f>
        <v>7</v>
      </c>
      <c r="L42" s="47">
        <f>CEILING(TBL_CalcDarwin[[#This Row],[Darwin Gusts
m/s]],0.5)</f>
        <v>8</v>
      </c>
      <c r="M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42" s="41">
        <f>INDEX(Curva_Temp[Temp],MATCH(TBL_CalcDarwin[[#This Row],[Darwin Temp.
°C]],Curva_Temp[Temp]))</f>
        <v>15</v>
      </c>
      <c r="R42" s="41">
        <f>INDEX(Curva_Temp[Warranted Power Curve for 
1.194Kg/m3 air density '[kW']
SG 5.0-145 (AM+1, 5.2MW) AT 
90M],MATCH(TBL_CalcDarwin[[#This Row],[Darwin Temp.
°C]],Curva_Temp[Temp]))</f>
        <v>5200</v>
      </c>
      <c r="S42" s="41" cm="1">
        <f t="array" ref="S42">INDEX(Curva_Temp[Temp],MATCH(TBL_CalcDarwin[[#This Row],[Darwin Temp.
°C]],Curva_Temp[Temp])+1)</f>
        <v>20</v>
      </c>
      <c r="T42" s="41" cm="1">
        <f t="array" ref="T42">INDEX(Curva_Temp[Warranted Power Curve for 
1.194Kg/m3 air density '[kW']
SG 5.0-145 (AM+1, 5.2MW) AT 
90M],MATCH(TBL_CalcDarwin[[#This Row],[Darwin Temp.
°C]],Curva_Temp[Temp])+1)</f>
        <v>5000</v>
      </c>
      <c r="U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42" s="41">
        <f>INDEX(Curva_Temp[Temp],MATCH(TBL_CalcDarwin[[#This Row],[Darwin Temp.
°C]],Curva_Temp[Temp]))</f>
        <v>15</v>
      </c>
      <c r="Z42" s="41">
        <f>INDEX(Curva_Temp[Warranted Power Curve for 
1.194Kg/m3 air density '[kW']
SG 5.0-145 (AM 0, 5.0MW) AT 
90M],MATCH(TBL_CalcDarwin[[#This Row],[Darwin Temp.
°C]],Curva_Temp[Temp]))</f>
        <v>5000</v>
      </c>
      <c r="AA42" s="41" cm="1">
        <f t="array" ref="AA42">INDEX(Curva_Temp[Temp],MATCH(TBL_CalcDarwin[[#This Row],[Darwin Temp.
°C]],Curva_Temp[Temp])+1)</f>
        <v>20</v>
      </c>
      <c r="AB42" s="41" cm="1">
        <f t="array" ref="AB42">INDEX(Curva_Temp[Warranted Power Curve for 
1.194Kg/m3 air density '[kW']
SG 5.0-145 (AM 0, 5.0MW) AT 
90M],MATCH(TBL_CalcDarwin[[#This Row],[Darwin Temp.
°C]],Curva_Temp[Temp])+1)</f>
        <v>5000</v>
      </c>
      <c r="AC42" s="45">
        <f>HLOOKUP(TBL_CalcDarwin[[#This Row],[Fecha]],'Plantilla AEG ES'!$E$1:$HX$13,2,FALSE)</f>
        <v>6</v>
      </c>
      <c r="AD42" s="45">
        <f>HLOOKUP(TBL_CalcDarwin[[#This Row],[Fecha]],'Plantilla AEG ES'!$E$1:$HX$13,3,FALSE)</f>
        <v>7</v>
      </c>
      <c r="AE42" s="45">
        <f>HLOOKUP(TBL_CalcDarwin[[#This Row],[Fecha]],'Plantilla AEG ES'!$E$1:$HX$13,4,FALSE)</f>
        <v>9</v>
      </c>
      <c r="AF42" s="45">
        <f>HLOOKUP(TBL_CalcDarwin[[#This Row],[Fecha]],'Plantilla AEG ES'!$E$1:$HX$13,5,FALSE)</f>
        <v>2</v>
      </c>
      <c r="AG42" s="45">
        <f>HLOOKUP(TBL_CalcDarwin[[#This Row],[Fecha]],'Plantilla AEG ES'!$E$1:$HX$13,6,FALSE)</f>
        <v>1</v>
      </c>
      <c r="AH42" s="45">
        <f>HLOOKUP(TBL_CalcDarwin[[#This Row],[Fecha]],'Plantilla AEG ES'!$E$1:$HX$13,7,FALSE)</f>
        <v>0</v>
      </c>
      <c r="AI42" s="46">
        <f>HLOOKUP(TBL_CalcDarwin[[#This Row],[Fecha]],'Plantilla AEG ES'!$E$1:$HX$13,8,FALSE)</f>
        <v>0</v>
      </c>
      <c r="AJ42" s="46">
        <f>HLOOKUP(TBL_CalcDarwin[[#This Row],[Fecha]],'Plantilla AEG ES'!$E$1:$HX$13,9,FALSE)</f>
        <v>1</v>
      </c>
      <c r="AK42" s="46">
        <f>HLOOKUP(TBL_CalcDarwin[[#This Row],[Fecha]],'Plantilla AEG ES'!$E$1:$HX$13,10,FALSE)</f>
        <v>12</v>
      </c>
      <c r="AL42" s="46">
        <f>HLOOKUP(TBL_CalcDarwin[[#This Row],[Fecha]],'Plantilla AEG ES'!$E$1:$HX$13,11,FALSE)</f>
        <v>1</v>
      </c>
      <c r="AM42" s="46">
        <f>HLOOKUP(TBL_CalcDarwin[[#This Row],[Fecha]],'Plantilla AEG ES'!$E$1:$HX$13,12,FALSE)</f>
        <v>5</v>
      </c>
      <c r="AN42" s="46">
        <f>HLOOKUP(TBL_CalcDarwin[[#This Row],[Fecha]],'Plantilla AEG ES'!$E$1:$HX$13,13,FALSE)</f>
        <v>3</v>
      </c>
      <c r="AO42" s="37">
        <f>TBL_CalcDarwin[[#This Row],[Lomitas - Barra A - 5.2 - Cerro]]+TBL_CalcDarwin[[#This Row],[Lomitas - Barra A - 5.2 - Medio]]+TBL_CalcDarwin[[#This Row],[Lomitas - Barra A - 5.2 - Mar]]</f>
        <v>22</v>
      </c>
      <c r="AP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38.757999999999996</v>
      </c>
      <c r="AR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43.476999999999997</v>
      </c>
      <c r="AS42" s="37">
        <f>TBL_CalcDarwin[[#This Row],[Expansión - Barra A - 5.2 - Cerro]]+TBL_CalcDarwin[[#This Row],[Expansión - Barra A - 5.2 - Medio]]+TBL_CalcDarwin[[#This Row],[Expansión - Barra A - 5.2 - Mar]]</f>
        <v>3</v>
      </c>
      <c r="AT42" s="37">
        <f>TBL_CalcDarwin[[#This Row],[Expansión - Barra B - 5.2 - Cerro]]</f>
        <v>3</v>
      </c>
      <c r="AU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42" s="29">
        <f>TBL_CalcDarwin[[#This Row],[Expansión - Barra B - 5.2 - Cerro]]*TBL_CalcDarwin[[#This Row],[AEG 5.2 MW Cerro]]</f>
        <v>2.9489999999999998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5">
        <f t="shared" si="0"/>
        <v>45585.708333333241</v>
      </c>
      <c r="C43" s="17">
        <f t="shared" si="3"/>
        <v>1.7083333333333341</v>
      </c>
      <c r="D43" s="34">
        <f>TBL_CalcDarwin[[#This Row],[Darwin PLOM
MW]]+TBL_CalcDarwin[[#This Row],[Darwin PLOME
MW]]</f>
        <v>88.746999999999986</v>
      </c>
      <c r="E43" s="34">
        <f>TBL_CalcDarwin[[#This Row],[PLOM MW TOTAL BARRA A]]+TBL_CalcDarwin[[#This Row],[PLOM MW TOTAL BARRA B]]</f>
        <v>82.234999999999985</v>
      </c>
      <c r="F43" s="34">
        <f>TBL_CalcDarwin[[#This Row],[PLOME MW TOTAL BARRA A]]+TBL_CalcDarwin[[#This Row],[PLOME MW TOTAL BARRA B]]</f>
        <v>6.5119999999999996</v>
      </c>
      <c r="G43" s="48">
        <f>'Plantilla Datos'!D48</f>
        <v>6.2</v>
      </c>
      <c r="H43" s="48">
        <f>'Plantilla Datos'!E48</f>
        <v>7.8</v>
      </c>
      <c r="I43" s="49">
        <f>'Plantilla Datos'!F48</f>
        <v>17</v>
      </c>
      <c r="J43" s="47">
        <f>CEILING('Plantilla Datos'!$L$3*TBL_CalcDarwin[[#This Row],[Darwin Gusts
m/s]],0.5)</f>
        <v>6</v>
      </c>
      <c r="K43" s="47">
        <f>CEILING('Plantilla Datos'!$L$4*TBL_CalcDarwin[[#This Row],[Darwin Gusts
m/s]],0.5)</f>
        <v>7</v>
      </c>
      <c r="L43" s="47">
        <f>CEILING(TBL_CalcDarwin[[#This Row],[Darwin Gusts
m/s]],0.5)</f>
        <v>8</v>
      </c>
      <c r="M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43" s="41">
        <f>INDEX(Curva_Temp[Temp],MATCH(TBL_CalcDarwin[[#This Row],[Darwin Temp.
°C]],Curva_Temp[Temp]))</f>
        <v>15</v>
      </c>
      <c r="R43" s="41">
        <f>INDEX(Curva_Temp[Warranted Power Curve for 
1.194Kg/m3 air density '[kW']
SG 5.0-145 (AM+1, 5.2MW) AT 
90M],MATCH(TBL_CalcDarwin[[#This Row],[Darwin Temp.
°C]],Curva_Temp[Temp]))</f>
        <v>5200</v>
      </c>
      <c r="S43" s="41" cm="1">
        <f t="array" ref="S43">INDEX(Curva_Temp[Temp],MATCH(TBL_CalcDarwin[[#This Row],[Darwin Temp.
°C]],Curva_Temp[Temp])+1)</f>
        <v>20</v>
      </c>
      <c r="T43" s="41" cm="1">
        <f t="array" ref="T43">INDEX(Curva_Temp[Warranted Power Curve for 
1.194Kg/m3 air density '[kW']
SG 5.0-145 (AM+1, 5.2MW) AT 
90M],MATCH(TBL_CalcDarwin[[#This Row],[Darwin Temp.
°C]],Curva_Temp[Temp])+1)</f>
        <v>5000</v>
      </c>
      <c r="U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43" s="41">
        <f>INDEX(Curva_Temp[Temp],MATCH(TBL_CalcDarwin[[#This Row],[Darwin Temp.
°C]],Curva_Temp[Temp]))</f>
        <v>15</v>
      </c>
      <c r="Z43" s="41">
        <f>INDEX(Curva_Temp[Warranted Power Curve for 
1.194Kg/m3 air density '[kW']
SG 5.0-145 (AM 0, 5.0MW) AT 
90M],MATCH(TBL_CalcDarwin[[#This Row],[Darwin Temp.
°C]],Curva_Temp[Temp]))</f>
        <v>5000</v>
      </c>
      <c r="AA43" s="41" cm="1">
        <f t="array" ref="AA43">INDEX(Curva_Temp[Temp],MATCH(TBL_CalcDarwin[[#This Row],[Darwin Temp.
°C]],Curva_Temp[Temp])+1)</f>
        <v>20</v>
      </c>
      <c r="AB43" s="41" cm="1">
        <f t="array" ref="AB43">INDEX(Curva_Temp[Warranted Power Curve for 
1.194Kg/m3 air density '[kW']
SG 5.0-145 (AM 0, 5.0MW) AT 
90M],MATCH(TBL_CalcDarwin[[#This Row],[Darwin Temp.
°C]],Curva_Temp[Temp])+1)</f>
        <v>5000</v>
      </c>
      <c r="AC43" s="45">
        <f>HLOOKUP(TBL_CalcDarwin[[#This Row],[Fecha]],'Plantilla AEG ES'!$E$1:$HX$13,2,FALSE)</f>
        <v>6</v>
      </c>
      <c r="AD43" s="45">
        <f>HLOOKUP(TBL_CalcDarwin[[#This Row],[Fecha]],'Plantilla AEG ES'!$E$1:$HX$13,3,FALSE)</f>
        <v>7</v>
      </c>
      <c r="AE43" s="45">
        <f>HLOOKUP(TBL_CalcDarwin[[#This Row],[Fecha]],'Plantilla AEG ES'!$E$1:$HX$13,4,FALSE)</f>
        <v>9</v>
      </c>
      <c r="AF43" s="45">
        <f>HLOOKUP(TBL_CalcDarwin[[#This Row],[Fecha]],'Plantilla AEG ES'!$E$1:$HX$13,5,FALSE)</f>
        <v>2</v>
      </c>
      <c r="AG43" s="45">
        <f>HLOOKUP(TBL_CalcDarwin[[#This Row],[Fecha]],'Plantilla AEG ES'!$E$1:$HX$13,6,FALSE)</f>
        <v>1</v>
      </c>
      <c r="AH43" s="45">
        <f>HLOOKUP(TBL_CalcDarwin[[#This Row],[Fecha]],'Plantilla AEG ES'!$E$1:$HX$13,7,FALSE)</f>
        <v>0</v>
      </c>
      <c r="AI43" s="46">
        <f>HLOOKUP(TBL_CalcDarwin[[#This Row],[Fecha]],'Plantilla AEG ES'!$E$1:$HX$13,8,FALSE)</f>
        <v>0</v>
      </c>
      <c r="AJ43" s="46">
        <f>HLOOKUP(TBL_CalcDarwin[[#This Row],[Fecha]],'Plantilla AEG ES'!$E$1:$HX$13,9,FALSE)</f>
        <v>1</v>
      </c>
      <c r="AK43" s="46">
        <f>HLOOKUP(TBL_CalcDarwin[[#This Row],[Fecha]],'Plantilla AEG ES'!$E$1:$HX$13,10,FALSE)</f>
        <v>12</v>
      </c>
      <c r="AL43" s="46">
        <f>HLOOKUP(TBL_CalcDarwin[[#This Row],[Fecha]],'Plantilla AEG ES'!$E$1:$HX$13,11,FALSE)</f>
        <v>1</v>
      </c>
      <c r="AM43" s="46">
        <f>HLOOKUP(TBL_CalcDarwin[[#This Row],[Fecha]],'Plantilla AEG ES'!$E$1:$HX$13,12,FALSE)</f>
        <v>5</v>
      </c>
      <c r="AN43" s="46">
        <f>HLOOKUP(TBL_CalcDarwin[[#This Row],[Fecha]],'Plantilla AEG ES'!$E$1:$HX$13,13,FALSE)</f>
        <v>3</v>
      </c>
      <c r="AO43" s="37">
        <f>TBL_CalcDarwin[[#This Row],[Lomitas - Barra A - 5.2 - Cerro]]+TBL_CalcDarwin[[#This Row],[Lomitas - Barra A - 5.2 - Medio]]+TBL_CalcDarwin[[#This Row],[Lomitas - Barra A - 5.2 - Mar]]</f>
        <v>22</v>
      </c>
      <c r="AP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38.757999999999996</v>
      </c>
      <c r="AR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43.476999999999997</v>
      </c>
      <c r="AS43" s="37">
        <f>TBL_CalcDarwin[[#This Row],[Expansión - Barra A - 5.2 - Cerro]]+TBL_CalcDarwin[[#This Row],[Expansión - Barra A - 5.2 - Medio]]+TBL_CalcDarwin[[#This Row],[Expansión - Barra A - 5.2 - Mar]]</f>
        <v>3</v>
      </c>
      <c r="AT43" s="37">
        <f>TBL_CalcDarwin[[#This Row],[Expansión - Barra B - 5.2 - Cerro]]</f>
        <v>3</v>
      </c>
      <c r="AU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43" s="29">
        <f>TBL_CalcDarwin[[#This Row],[Expansión - Barra B - 5.2 - Cerro]]*TBL_CalcDarwin[[#This Row],[AEG 5.2 MW Cerro]]</f>
        <v>2.9489999999999998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5">
        <f t="shared" si="0"/>
        <v>45585.749999999905</v>
      </c>
      <c r="C44" s="17">
        <f t="shared" si="3"/>
        <v>1.7500000000000009</v>
      </c>
      <c r="D44" s="34">
        <f>TBL_CalcDarwin[[#This Row],[Darwin PLOM
MW]]+TBL_CalcDarwin[[#This Row],[Darwin PLOME
MW]]</f>
        <v>88.746999999999986</v>
      </c>
      <c r="E44" s="34">
        <f>TBL_CalcDarwin[[#This Row],[PLOM MW TOTAL BARRA A]]+TBL_CalcDarwin[[#This Row],[PLOM MW TOTAL BARRA B]]</f>
        <v>82.234999999999985</v>
      </c>
      <c r="F44" s="34">
        <f>TBL_CalcDarwin[[#This Row],[PLOME MW TOTAL BARRA A]]+TBL_CalcDarwin[[#This Row],[PLOME MW TOTAL BARRA B]]</f>
        <v>6.5119999999999996</v>
      </c>
      <c r="G44" s="48">
        <f>'Plantilla Datos'!D49</f>
        <v>6.3</v>
      </c>
      <c r="H44" s="48">
        <f>'Plantilla Datos'!E49</f>
        <v>7.9</v>
      </c>
      <c r="I44" s="49">
        <f>'Plantilla Datos'!F49</f>
        <v>16.7</v>
      </c>
      <c r="J44" s="47">
        <f>CEILING('Plantilla Datos'!$L$3*TBL_CalcDarwin[[#This Row],[Darwin Gusts
m/s]],0.5)</f>
        <v>6</v>
      </c>
      <c r="K44" s="47">
        <f>CEILING('Plantilla Datos'!$L$4*TBL_CalcDarwin[[#This Row],[Darwin Gusts
m/s]],0.5)</f>
        <v>7</v>
      </c>
      <c r="L44" s="47">
        <f>CEILING(TBL_CalcDarwin[[#This Row],[Darwin Gusts
m/s]],0.5)</f>
        <v>8</v>
      </c>
      <c r="M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44" s="41">
        <f>INDEX(Curva_Temp[Temp],MATCH(TBL_CalcDarwin[[#This Row],[Darwin Temp.
°C]],Curva_Temp[Temp]))</f>
        <v>15</v>
      </c>
      <c r="R44" s="41">
        <f>INDEX(Curva_Temp[Warranted Power Curve for 
1.194Kg/m3 air density '[kW']
SG 5.0-145 (AM+1, 5.2MW) AT 
90M],MATCH(TBL_CalcDarwin[[#This Row],[Darwin Temp.
°C]],Curva_Temp[Temp]))</f>
        <v>5200</v>
      </c>
      <c r="S44" s="41" cm="1">
        <f t="array" ref="S44">INDEX(Curva_Temp[Temp],MATCH(TBL_CalcDarwin[[#This Row],[Darwin Temp.
°C]],Curva_Temp[Temp])+1)</f>
        <v>20</v>
      </c>
      <c r="T44" s="41" cm="1">
        <f t="array" ref="T44">INDEX(Curva_Temp[Warranted Power Curve for 
1.194Kg/m3 air density '[kW']
SG 5.0-145 (AM+1, 5.2MW) AT 
90M],MATCH(TBL_CalcDarwin[[#This Row],[Darwin Temp.
°C]],Curva_Temp[Temp])+1)</f>
        <v>5000</v>
      </c>
      <c r="U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44" s="41">
        <f>INDEX(Curva_Temp[Temp],MATCH(TBL_CalcDarwin[[#This Row],[Darwin Temp.
°C]],Curva_Temp[Temp]))</f>
        <v>15</v>
      </c>
      <c r="Z44" s="41">
        <f>INDEX(Curva_Temp[Warranted Power Curve for 
1.194Kg/m3 air density '[kW']
SG 5.0-145 (AM 0, 5.0MW) AT 
90M],MATCH(TBL_CalcDarwin[[#This Row],[Darwin Temp.
°C]],Curva_Temp[Temp]))</f>
        <v>5000</v>
      </c>
      <c r="AA44" s="41" cm="1">
        <f t="array" ref="AA44">INDEX(Curva_Temp[Temp],MATCH(TBL_CalcDarwin[[#This Row],[Darwin Temp.
°C]],Curva_Temp[Temp])+1)</f>
        <v>20</v>
      </c>
      <c r="AB44" s="41" cm="1">
        <f t="array" ref="AB44">INDEX(Curva_Temp[Warranted Power Curve for 
1.194Kg/m3 air density '[kW']
SG 5.0-145 (AM 0, 5.0MW) AT 
90M],MATCH(TBL_CalcDarwin[[#This Row],[Darwin Temp.
°C]],Curva_Temp[Temp])+1)</f>
        <v>5000</v>
      </c>
      <c r="AC44" s="45">
        <f>HLOOKUP(TBL_CalcDarwin[[#This Row],[Fecha]],'Plantilla AEG ES'!$E$1:$HX$13,2,FALSE)</f>
        <v>6</v>
      </c>
      <c r="AD44" s="45">
        <f>HLOOKUP(TBL_CalcDarwin[[#This Row],[Fecha]],'Plantilla AEG ES'!$E$1:$HX$13,3,FALSE)</f>
        <v>7</v>
      </c>
      <c r="AE44" s="45">
        <f>HLOOKUP(TBL_CalcDarwin[[#This Row],[Fecha]],'Plantilla AEG ES'!$E$1:$HX$13,4,FALSE)</f>
        <v>9</v>
      </c>
      <c r="AF44" s="45">
        <f>HLOOKUP(TBL_CalcDarwin[[#This Row],[Fecha]],'Plantilla AEG ES'!$E$1:$HX$13,5,FALSE)</f>
        <v>2</v>
      </c>
      <c r="AG44" s="45">
        <f>HLOOKUP(TBL_CalcDarwin[[#This Row],[Fecha]],'Plantilla AEG ES'!$E$1:$HX$13,6,FALSE)</f>
        <v>1</v>
      </c>
      <c r="AH44" s="45">
        <f>HLOOKUP(TBL_CalcDarwin[[#This Row],[Fecha]],'Plantilla AEG ES'!$E$1:$HX$13,7,FALSE)</f>
        <v>0</v>
      </c>
      <c r="AI44" s="46">
        <f>HLOOKUP(TBL_CalcDarwin[[#This Row],[Fecha]],'Plantilla AEG ES'!$E$1:$HX$13,8,FALSE)</f>
        <v>0</v>
      </c>
      <c r="AJ44" s="46">
        <f>HLOOKUP(TBL_CalcDarwin[[#This Row],[Fecha]],'Plantilla AEG ES'!$E$1:$HX$13,9,FALSE)</f>
        <v>1</v>
      </c>
      <c r="AK44" s="46">
        <f>HLOOKUP(TBL_CalcDarwin[[#This Row],[Fecha]],'Plantilla AEG ES'!$E$1:$HX$13,10,FALSE)</f>
        <v>12</v>
      </c>
      <c r="AL44" s="46">
        <f>HLOOKUP(TBL_CalcDarwin[[#This Row],[Fecha]],'Plantilla AEG ES'!$E$1:$HX$13,11,FALSE)</f>
        <v>1</v>
      </c>
      <c r="AM44" s="46">
        <f>HLOOKUP(TBL_CalcDarwin[[#This Row],[Fecha]],'Plantilla AEG ES'!$E$1:$HX$13,12,FALSE)</f>
        <v>5</v>
      </c>
      <c r="AN44" s="46">
        <f>HLOOKUP(TBL_CalcDarwin[[#This Row],[Fecha]],'Plantilla AEG ES'!$E$1:$HX$13,13,FALSE)</f>
        <v>3</v>
      </c>
      <c r="AO44" s="37">
        <f>TBL_CalcDarwin[[#This Row],[Lomitas - Barra A - 5.2 - Cerro]]+TBL_CalcDarwin[[#This Row],[Lomitas - Barra A - 5.2 - Medio]]+TBL_CalcDarwin[[#This Row],[Lomitas - Barra A - 5.2 - Mar]]</f>
        <v>22</v>
      </c>
      <c r="AP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38.757999999999996</v>
      </c>
      <c r="AR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43.476999999999997</v>
      </c>
      <c r="AS44" s="37">
        <f>TBL_CalcDarwin[[#This Row],[Expansión - Barra A - 5.2 - Cerro]]+TBL_CalcDarwin[[#This Row],[Expansión - Barra A - 5.2 - Medio]]+TBL_CalcDarwin[[#This Row],[Expansión - Barra A - 5.2 - Mar]]</f>
        <v>3</v>
      </c>
      <c r="AT44" s="37">
        <f>TBL_CalcDarwin[[#This Row],[Expansión - Barra B - 5.2 - Cerro]]</f>
        <v>3</v>
      </c>
      <c r="AU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44" s="29">
        <f>TBL_CalcDarwin[[#This Row],[Expansión - Barra B - 5.2 - Cerro]]*TBL_CalcDarwin[[#This Row],[AEG 5.2 MW Cerro]]</f>
        <v>2.9489999999999998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5">
        <f t="shared" si="0"/>
        <v>45585.79166666657</v>
      </c>
      <c r="C45" s="17">
        <f t="shared" si="3"/>
        <v>1.7916666666666676</v>
      </c>
      <c r="D45" s="34">
        <f>TBL_CalcDarwin[[#This Row],[Darwin PLOM
MW]]+TBL_CalcDarwin[[#This Row],[Darwin PLOME
MW]]</f>
        <v>88.746999999999986</v>
      </c>
      <c r="E45" s="34">
        <f>TBL_CalcDarwin[[#This Row],[PLOM MW TOTAL BARRA A]]+TBL_CalcDarwin[[#This Row],[PLOM MW TOTAL BARRA B]]</f>
        <v>82.234999999999985</v>
      </c>
      <c r="F45" s="34">
        <f>TBL_CalcDarwin[[#This Row],[PLOME MW TOTAL BARRA A]]+TBL_CalcDarwin[[#This Row],[PLOME MW TOTAL BARRA B]]</f>
        <v>6.5119999999999996</v>
      </c>
      <c r="G45" s="48">
        <f>'Plantilla Datos'!D50</f>
        <v>6.4</v>
      </c>
      <c r="H45" s="48">
        <f>'Plantilla Datos'!E50</f>
        <v>8</v>
      </c>
      <c r="I45" s="49">
        <f>'Plantilla Datos'!F50</f>
        <v>16.2</v>
      </c>
      <c r="J45" s="47">
        <f>CEILING('Plantilla Datos'!$L$3*TBL_CalcDarwin[[#This Row],[Darwin Gusts
m/s]],0.5)</f>
        <v>6</v>
      </c>
      <c r="K45" s="47">
        <f>CEILING('Plantilla Datos'!$L$4*TBL_CalcDarwin[[#This Row],[Darwin Gusts
m/s]],0.5)</f>
        <v>7</v>
      </c>
      <c r="L45" s="47">
        <f>CEILING(TBL_CalcDarwin[[#This Row],[Darwin Gusts
m/s]],0.5)</f>
        <v>8</v>
      </c>
      <c r="M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45" s="41">
        <f>INDEX(Curva_Temp[Temp],MATCH(TBL_CalcDarwin[[#This Row],[Darwin Temp.
°C]],Curva_Temp[Temp]))</f>
        <v>15</v>
      </c>
      <c r="R45" s="41">
        <f>INDEX(Curva_Temp[Warranted Power Curve for 
1.194Kg/m3 air density '[kW']
SG 5.0-145 (AM+1, 5.2MW) AT 
90M],MATCH(TBL_CalcDarwin[[#This Row],[Darwin Temp.
°C]],Curva_Temp[Temp]))</f>
        <v>5200</v>
      </c>
      <c r="S45" s="41" cm="1">
        <f t="array" ref="S45">INDEX(Curva_Temp[Temp],MATCH(TBL_CalcDarwin[[#This Row],[Darwin Temp.
°C]],Curva_Temp[Temp])+1)</f>
        <v>20</v>
      </c>
      <c r="T45" s="41" cm="1">
        <f t="array" ref="T45">INDEX(Curva_Temp[Warranted Power Curve for 
1.194Kg/m3 air density '[kW']
SG 5.0-145 (AM+1, 5.2MW) AT 
90M],MATCH(TBL_CalcDarwin[[#This Row],[Darwin Temp.
°C]],Curva_Temp[Temp])+1)</f>
        <v>5000</v>
      </c>
      <c r="U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45" s="41">
        <f>INDEX(Curva_Temp[Temp],MATCH(TBL_CalcDarwin[[#This Row],[Darwin Temp.
°C]],Curva_Temp[Temp]))</f>
        <v>15</v>
      </c>
      <c r="Z45" s="41">
        <f>INDEX(Curva_Temp[Warranted Power Curve for 
1.194Kg/m3 air density '[kW']
SG 5.0-145 (AM 0, 5.0MW) AT 
90M],MATCH(TBL_CalcDarwin[[#This Row],[Darwin Temp.
°C]],Curva_Temp[Temp]))</f>
        <v>5000</v>
      </c>
      <c r="AA45" s="41" cm="1">
        <f t="array" ref="AA45">INDEX(Curva_Temp[Temp],MATCH(TBL_CalcDarwin[[#This Row],[Darwin Temp.
°C]],Curva_Temp[Temp])+1)</f>
        <v>20</v>
      </c>
      <c r="AB45" s="41" cm="1">
        <f t="array" ref="AB45">INDEX(Curva_Temp[Warranted Power Curve for 
1.194Kg/m3 air density '[kW']
SG 5.0-145 (AM 0, 5.0MW) AT 
90M],MATCH(TBL_CalcDarwin[[#This Row],[Darwin Temp.
°C]],Curva_Temp[Temp])+1)</f>
        <v>5000</v>
      </c>
      <c r="AC45" s="45">
        <f>HLOOKUP(TBL_CalcDarwin[[#This Row],[Fecha]],'Plantilla AEG ES'!$E$1:$HX$13,2,FALSE)</f>
        <v>6</v>
      </c>
      <c r="AD45" s="45">
        <f>HLOOKUP(TBL_CalcDarwin[[#This Row],[Fecha]],'Plantilla AEG ES'!$E$1:$HX$13,3,FALSE)</f>
        <v>7</v>
      </c>
      <c r="AE45" s="45">
        <f>HLOOKUP(TBL_CalcDarwin[[#This Row],[Fecha]],'Plantilla AEG ES'!$E$1:$HX$13,4,FALSE)</f>
        <v>9</v>
      </c>
      <c r="AF45" s="45">
        <f>HLOOKUP(TBL_CalcDarwin[[#This Row],[Fecha]],'Plantilla AEG ES'!$E$1:$HX$13,5,FALSE)</f>
        <v>2</v>
      </c>
      <c r="AG45" s="45">
        <f>HLOOKUP(TBL_CalcDarwin[[#This Row],[Fecha]],'Plantilla AEG ES'!$E$1:$HX$13,6,FALSE)</f>
        <v>1</v>
      </c>
      <c r="AH45" s="45">
        <f>HLOOKUP(TBL_CalcDarwin[[#This Row],[Fecha]],'Plantilla AEG ES'!$E$1:$HX$13,7,FALSE)</f>
        <v>0</v>
      </c>
      <c r="AI45" s="46">
        <f>HLOOKUP(TBL_CalcDarwin[[#This Row],[Fecha]],'Plantilla AEG ES'!$E$1:$HX$13,8,FALSE)</f>
        <v>0</v>
      </c>
      <c r="AJ45" s="46">
        <f>HLOOKUP(TBL_CalcDarwin[[#This Row],[Fecha]],'Plantilla AEG ES'!$E$1:$HX$13,9,FALSE)</f>
        <v>1</v>
      </c>
      <c r="AK45" s="46">
        <f>HLOOKUP(TBL_CalcDarwin[[#This Row],[Fecha]],'Plantilla AEG ES'!$E$1:$HX$13,10,FALSE)</f>
        <v>12</v>
      </c>
      <c r="AL45" s="46">
        <f>HLOOKUP(TBL_CalcDarwin[[#This Row],[Fecha]],'Plantilla AEG ES'!$E$1:$HX$13,11,FALSE)</f>
        <v>1</v>
      </c>
      <c r="AM45" s="46">
        <f>HLOOKUP(TBL_CalcDarwin[[#This Row],[Fecha]],'Plantilla AEG ES'!$E$1:$HX$13,12,FALSE)</f>
        <v>5</v>
      </c>
      <c r="AN45" s="46">
        <f>HLOOKUP(TBL_CalcDarwin[[#This Row],[Fecha]],'Plantilla AEG ES'!$E$1:$HX$13,13,FALSE)</f>
        <v>3</v>
      </c>
      <c r="AO45" s="37">
        <f>TBL_CalcDarwin[[#This Row],[Lomitas - Barra A - 5.2 - Cerro]]+TBL_CalcDarwin[[#This Row],[Lomitas - Barra A - 5.2 - Medio]]+TBL_CalcDarwin[[#This Row],[Lomitas - Barra A - 5.2 - Mar]]</f>
        <v>22</v>
      </c>
      <c r="AP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38.757999999999996</v>
      </c>
      <c r="AR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43.476999999999997</v>
      </c>
      <c r="AS45" s="37">
        <f>TBL_CalcDarwin[[#This Row],[Expansión - Barra A - 5.2 - Cerro]]+TBL_CalcDarwin[[#This Row],[Expansión - Barra A - 5.2 - Medio]]+TBL_CalcDarwin[[#This Row],[Expansión - Barra A - 5.2 - Mar]]</f>
        <v>3</v>
      </c>
      <c r="AT45" s="37">
        <f>TBL_CalcDarwin[[#This Row],[Expansión - Barra B - 5.2 - Cerro]]</f>
        <v>3</v>
      </c>
      <c r="AU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45" s="29">
        <f>TBL_CalcDarwin[[#This Row],[Expansión - Barra B - 5.2 - Cerro]]*TBL_CalcDarwin[[#This Row],[AEG 5.2 MW Cerro]]</f>
        <v>2.9489999999999998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5">
        <f t="shared" si="0"/>
        <v>45585.833333333234</v>
      </c>
      <c r="C46" s="17">
        <f t="shared" si="3"/>
        <v>1.8333333333333344</v>
      </c>
      <c r="D46" s="34">
        <f>TBL_CalcDarwin[[#This Row],[Darwin PLOM
MW]]+TBL_CalcDarwin[[#This Row],[Darwin PLOME
MW]]</f>
        <v>100.90100000000001</v>
      </c>
      <c r="E46" s="34">
        <f>TBL_CalcDarwin[[#This Row],[PLOM MW TOTAL BARRA A]]+TBL_CalcDarwin[[#This Row],[PLOM MW TOTAL BARRA B]]</f>
        <v>94.38900000000001</v>
      </c>
      <c r="F46" s="34">
        <f>TBL_CalcDarwin[[#This Row],[PLOME MW TOTAL BARRA A]]+TBL_CalcDarwin[[#This Row],[PLOME MW TOTAL BARRA B]]</f>
        <v>6.5119999999999996</v>
      </c>
      <c r="G46" s="48">
        <f>'Plantilla Datos'!D51</f>
        <v>6.4</v>
      </c>
      <c r="H46" s="48">
        <f>'Plantilla Datos'!E51</f>
        <v>8.1</v>
      </c>
      <c r="I46" s="49">
        <f>'Plantilla Datos'!F51</f>
        <v>16.2</v>
      </c>
      <c r="J46" s="47">
        <f>CEILING('Plantilla Datos'!$L$3*TBL_CalcDarwin[[#This Row],[Darwin Gusts
m/s]],0.5)</f>
        <v>6</v>
      </c>
      <c r="K46" s="47">
        <f>CEILING('Plantilla Datos'!$L$4*TBL_CalcDarwin[[#This Row],[Darwin Gusts
m/s]],0.5)</f>
        <v>7</v>
      </c>
      <c r="L46" s="47">
        <f>CEILING(TBL_CalcDarwin[[#This Row],[Darwin Gusts
m/s]],0.5)</f>
        <v>8.5</v>
      </c>
      <c r="M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46" s="41">
        <f>INDEX(Curva_Temp[Temp],MATCH(TBL_CalcDarwin[[#This Row],[Darwin Temp.
°C]],Curva_Temp[Temp]))</f>
        <v>15</v>
      </c>
      <c r="R46" s="41">
        <f>INDEX(Curva_Temp[Warranted Power Curve for 
1.194Kg/m3 air density '[kW']
SG 5.0-145 (AM+1, 5.2MW) AT 
90M],MATCH(TBL_CalcDarwin[[#This Row],[Darwin Temp.
°C]],Curva_Temp[Temp]))</f>
        <v>5200</v>
      </c>
      <c r="S46" s="41" cm="1">
        <f t="array" ref="S46">INDEX(Curva_Temp[Temp],MATCH(TBL_CalcDarwin[[#This Row],[Darwin Temp.
°C]],Curva_Temp[Temp])+1)</f>
        <v>20</v>
      </c>
      <c r="T46" s="41" cm="1">
        <f t="array" ref="T46">INDEX(Curva_Temp[Warranted Power Curve for 
1.194Kg/m3 air density '[kW']
SG 5.0-145 (AM+1, 5.2MW) AT 
90M],MATCH(TBL_CalcDarwin[[#This Row],[Darwin Temp.
°C]],Curva_Temp[Temp])+1)</f>
        <v>5000</v>
      </c>
      <c r="U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46" s="41">
        <f>INDEX(Curva_Temp[Temp],MATCH(TBL_CalcDarwin[[#This Row],[Darwin Temp.
°C]],Curva_Temp[Temp]))</f>
        <v>15</v>
      </c>
      <c r="Z46" s="41">
        <f>INDEX(Curva_Temp[Warranted Power Curve for 
1.194Kg/m3 air density '[kW']
SG 5.0-145 (AM 0, 5.0MW) AT 
90M],MATCH(TBL_CalcDarwin[[#This Row],[Darwin Temp.
°C]],Curva_Temp[Temp]))</f>
        <v>5000</v>
      </c>
      <c r="AA46" s="41" cm="1">
        <f t="array" ref="AA46">INDEX(Curva_Temp[Temp],MATCH(TBL_CalcDarwin[[#This Row],[Darwin Temp.
°C]],Curva_Temp[Temp])+1)</f>
        <v>20</v>
      </c>
      <c r="AB46" s="41" cm="1">
        <f t="array" ref="AB46">INDEX(Curva_Temp[Warranted Power Curve for 
1.194Kg/m3 air density '[kW']
SG 5.0-145 (AM 0, 5.0MW) AT 
90M],MATCH(TBL_CalcDarwin[[#This Row],[Darwin Temp.
°C]],Curva_Temp[Temp])+1)</f>
        <v>5000</v>
      </c>
      <c r="AC46" s="45">
        <f>HLOOKUP(TBL_CalcDarwin[[#This Row],[Fecha]],'Plantilla AEG ES'!$E$1:$HX$13,2,FALSE)</f>
        <v>6</v>
      </c>
      <c r="AD46" s="45">
        <f>HLOOKUP(TBL_CalcDarwin[[#This Row],[Fecha]],'Plantilla AEG ES'!$E$1:$HX$13,3,FALSE)</f>
        <v>7</v>
      </c>
      <c r="AE46" s="45">
        <f>HLOOKUP(TBL_CalcDarwin[[#This Row],[Fecha]],'Plantilla AEG ES'!$E$1:$HX$13,4,FALSE)</f>
        <v>9</v>
      </c>
      <c r="AF46" s="45">
        <f>HLOOKUP(TBL_CalcDarwin[[#This Row],[Fecha]],'Plantilla AEG ES'!$E$1:$HX$13,5,FALSE)</f>
        <v>2</v>
      </c>
      <c r="AG46" s="45">
        <f>HLOOKUP(TBL_CalcDarwin[[#This Row],[Fecha]],'Plantilla AEG ES'!$E$1:$HX$13,6,FALSE)</f>
        <v>1</v>
      </c>
      <c r="AH46" s="45">
        <f>HLOOKUP(TBL_CalcDarwin[[#This Row],[Fecha]],'Plantilla AEG ES'!$E$1:$HX$13,7,FALSE)</f>
        <v>0</v>
      </c>
      <c r="AI46" s="46">
        <f>HLOOKUP(TBL_CalcDarwin[[#This Row],[Fecha]],'Plantilla AEG ES'!$E$1:$HX$13,8,FALSE)</f>
        <v>0</v>
      </c>
      <c r="AJ46" s="46">
        <f>HLOOKUP(TBL_CalcDarwin[[#This Row],[Fecha]],'Plantilla AEG ES'!$E$1:$HX$13,9,FALSE)</f>
        <v>1</v>
      </c>
      <c r="AK46" s="46">
        <f>HLOOKUP(TBL_CalcDarwin[[#This Row],[Fecha]],'Plantilla AEG ES'!$E$1:$HX$13,10,FALSE)</f>
        <v>12</v>
      </c>
      <c r="AL46" s="46">
        <f>HLOOKUP(TBL_CalcDarwin[[#This Row],[Fecha]],'Plantilla AEG ES'!$E$1:$HX$13,11,FALSE)</f>
        <v>1</v>
      </c>
      <c r="AM46" s="46">
        <f>HLOOKUP(TBL_CalcDarwin[[#This Row],[Fecha]],'Plantilla AEG ES'!$E$1:$HX$13,12,FALSE)</f>
        <v>5</v>
      </c>
      <c r="AN46" s="46">
        <f>HLOOKUP(TBL_CalcDarwin[[#This Row],[Fecha]],'Plantilla AEG ES'!$E$1:$HX$13,13,FALSE)</f>
        <v>3</v>
      </c>
      <c r="AO46" s="37">
        <f>TBL_CalcDarwin[[#This Row],[Lomitas - Barra A - 5.2 - Cerro]]+TBL_CalcDarwin[[#This Row],[Lomitas - Barra A - 5.2 - Medio]]+TBL_CalcDarwin[[#This Row],[Lomitas - Barra A - 5.2 - Mar]]</f>
        <v>22</v>
      </c>
      <c r="AP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42.978999999999999</v>
      </c>
      <c r="AR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51.410000000000004</v>
      </c>
      <c r="AS46" s="37">
        <f>TBL_CalcDarwin[[#This Row],[Expansión - Barra A - 5.2 - Cerro]]+TBL_CalcDarwin[[#This Row],[Expansión - Barra A - 5.2 - Medio]]+TBL_CalcDarwin[[#This Row],[Expansión - Barra A - 5.2 - Mar]]</f>
        <v>3</v>
      </c>
      <c r="AT46" s="37">
        <f>TBL_CalcDarwin[[#This Row],[Expansión - Barra B - 5.2 - Cerro]]</f>
        <v>3</v>
      </c>
      <c r="AU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46" s="29">
        <f>TBL_CalcDarwin[[#This Row],[Expansión - Barra B - 5.2 - Cerro]]*TBL_CalcDarwin[[#This Row],[AEG 5.2 MW Cerro]]</f>
        <v>2.9489999999999998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5">
        <f t="shared" si="0"/>
        <v>45585.874999999898</v>
      </c>
      <c r="C47" s="17">
        <f>C46+TIME(1,0,0)</f>
        <v>1.8750000000000011</v>
      </c>
      <c r="D47" s="34">
        <f>TBL_CalcDarwin[[#This Row],[Darwin PLOM
MW]]+TBL_CalcDarwin[[#This Row],[Darwin PLOME
MW]]</f>
        <v>100.90100000000001</v>
      </c>
      <c r="E47" s="34">
        <f>TBL_CalcDarwin[[#This Row],[PLOM MW TOTAL BARRA A]]+TBL_CalcDarwin[[#This Row],[PLOM MW TOTAL BARRA B]]</f>
        <v>94.38900000000001</v>
      </c>
      <c r="F47" s="34">
        <f>TBL_CalcDarwin[[#This Row],[PLOME MW TOTAL BARRA A]]+TBL_CalcDarwin[[#This Row],[PLOME MW TOTAL BARRA B]]</f>
        <v>6.5119999999999996</v>
      </c>
      <c r="G47" s="48">
        <f>'Plantilla Datos'!D52</f>
        <v>6.4</v>
      </c>
      <c r="H47" s="48">
        <f>'Plantilla Datos'!E52</f>
        <v>8.1</v>
      </c>
      <c r="I47" s="49">
        <f>'Plantilla Datos'!F52</f>
        <v>16.2</v>
      </c>
      <c r="J47" s="47">
        <f>CEILING('Plantilla Datos'!$L$3*TBL_CalcDarwin[[#This Row],[Darwin Gusts
m/s]],0.5)</f>
        <v>6</v>
      </c>
      <c r="K47" s="47">
        <f>CEILING('Plantilla Datos'!$L$4*TBL_CalcDarwin[[#This Row],[Darwin Gusts
m/s]],0.5)</f>
        <v>7</v>
      </c>
      <c r="L47" s="47">
        <f>CEILING(TBL_CalcDarwin[[#This Row],[Darwin Gusts
m/s]],0.5)</f>
        <v>8.5</v>
      </c>
      <c r="M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47" s="41">
        <f>INDEX(Curva_Temp[Temp],MATCH(TBL_CalcDarwin[[#This Row],[Darwin Temp.
°C]],Curva_Temp[Temp]))</f>
        <v>15</v>
      </c>
      <c r="R47" s="41">
        <f>INDEX(Curva_Temp[Warranted Power Curve for 
1.194Kg/m3 air density '[kW']
SG 5.0-145 (AM+1, 5.2MW) AT 
90M],MATCH(TBL_CalcDarwin[[#This Row],[Darwin Temp.
°C]],Curva_Temp[Temp]))</f>
        <v>5200</v>
      </c>
      <c r="S47" s="41" cm="1">
        <f t="array" ref="S47">INDEX(Curva_Temp[Temp],MATCH(TBL_CalcDarwin[[#This Row],[Darwin Temp.
°C]],Curva_Temp[Temp])+1)</f>
        <v>20</v>
      </c>
      <c r="T47" s="41" cm="1">
        <f t="array" ref="T47">INDEX(Curva_Temp[Warranted Power Curve for 
1.194Kg/m3 air density '[kW']
SG 5.0-145 (AM+1, 5.2MW) AT 
90M],MATCH(TBL_CalcDarwin[[#This Row],[Darwin Temp.
°C]],Curva_Temp[Temp])+1)</f>
        <v>5000</v>
      </c>
      <c r="U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47" s="41">
        <f>INDEX(Curva_Temp[Temp],MATCH(TBL_CalcDarwin[[#This Row],[Darwin Temp.
°C]],Curva_Temp[Temp]))</f>
        <v>15</v>
      </c>
      <c r="Z47" s="41">
        <f>INDEX(Curva_Temp[Warranted Power Curve for 
1.194Kg/m3 air density '[kW']
SG 5.0-145 (AM 0, 5.0MW) AT 
90M],MATCH(TBL_CalcDarwin[[#This Row],[Darwin Temp.
°C]],Curva_Temp[Temp]))</f>
        <v>5000</v>
      </c>
      <c r="AA47" s="41" cm="1">
        <f t="array" ref="AA47">INDEX(Curva_Temp[Temp],MATCH(TBL_CalcDarwin[[#This Row],[Darwin Temp.
°C]],Curva_Temp[Temp])+1)</f>
        <v>20</v>
      </c>
      <c r="AB47" s="41" cm="1">
        <f t="array" ref="AB47">INDEX(Curva_Temp[Warranted Power Curve for 
1.194Kg/m3 air density '[kW']
SG 5.0-145 (AM 0, 5.0MW) AT 
90M],MATCH(TBL_CalcDarwin[[#This Row],[Darwin Temp.
°C]],Curva_Temp[Temp])+1)</f>
        <v>5000</v>
      </c>
      <c r="AC47" s="45">
        <f>HLOOKUP(TBL_CalcDarwin[[#This Row],[Fecha]],'Plantilla AEG ES'!$E$1:$HX$13,2,FALSE)</f>
        <v>6</v>
      </c>
      <c r="AD47" s="45">
        <f>HLOOKUP(TBL_CalcDarwin[[#This Row],[Fecha]],'Plantilla AEG ES'!$E$1:$HX$13,3,FALSE)</f>
        <v>7</v>
      </c>
      <c r="AE47" s="45">
        <f>HLOOKUP(TBL_CalcDarwin[[#This Row],[Fecha]],'Plantilla AEG ES'!$E$1:$HX$13,4,FALSE)</f>
        <v>9</v>
      </c>
      <c r="AF47" s="45">
        <f>HLOOKUP(TBL_CalcDarwin[[#This Row],[Fecha]],'Plantilla AEG ES'!$E$1:$HX$13,5,FALSE)</f>
        <v>2</v>
      </c>
      <c r="AG47" s="45">
        <f>HLOOKUP(TBL_CalcDarwin[[#This Row],[Fecha]],'Plantilla AEG ES'!$E$1:$HX$13,6,FALSE)</f>
        <v>1</v>
      </c>
      <c r="AH47" s="45">
        <f>HLOOKUP(TBL_CalcDarwin[[#This Row],[Fecha]],'Plantilla AEG ES'!$E$1:$HX$13,7,FALSE)</f>
        <v>0</v>
      </c>
      <c r="AI47" s="46">
        <f>HLOOKUP(TBL_CalcDarwin[[#This Row],[Fecha]],'Plantilla AEG ES'!$E$1:$HX$13,8,FALSE)</f>
        <v>0</v>
      </c>
      <c r="AJ47" s="46">
        <f>HLOOKUP(TBL_CalcDarwin[[#This Row],[Fecha]],'Plantilla AEG ES'!$E$1:$HX$13,9,FALSE)</f>
        <v>1</v>
      </c>
      <c r="AK47" s="46">
        <f>HLOOKUP(TBL_CalcDarwin[[#This Row],[Fecha]],'Plantilla AEG ES'!$E$1:$HX$13,10,FALSE)</f>
        <v>12</v>
      </c>
      <c r="AL47" s="46">
        <f>HLOOKUP(TBL_CalcDarwin[[#This Row],[Fecha]],'Plantilla AEG ES'!$E$1:$HX$13,11,FALSE)</f>
        <v>1</v>
      </c>
      <c r="AM47" s="46">
        <f>HLOOKUP(TBL_CalcDarwin[[#This Row],[Fecha]],'Plantilla AEG ES'!$E$1:$HX$13,12,FALSE)</f>
        <v>5</v>
      </c>
      <c r="AN47" s="46">
        <f>HLOOKUP(TBL_CalcDarwin[[#This Row],[Fecha]],'Plantilla AEG ES'!$E$1:$HX$13,13,FALSE)</f>
        <v>3</v>
      </c>
      <c r="AO47" s="37">
        <f>TBL_CalcDarwin[[#This Row],[Lomitas - Barra A - 5.2 - Cerro]]+TBL_CalcDarwin[[#This Row],[Lomitas - Barra A - 5.2 - Medio]]+TBL_CalcDarwin[[#This Row],[Lomitas - Barra A - 5.2 - Mar]]</f>
        <v>22</v>
      </c>
      <c r="AP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42.978999999999999</v>
      </c>
      <c r="AR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51.410000000000004</v>
      </c>
      <c r="AS47" s="37">
        <f>TBL_CalcDarwin[[#This Row],[Expansión - Barra A - 5.2 - Cerro]]+TBL_CalcDarwin[[#This Row],[Expansión - Barra A - 5.2 - Medio]]+TBL_CalcDarwin[[#This Row],[Expansión - Barra A - 5.2 - Mar]]</f>
        <v>3</v>
      </c>
      <c r="AT47" s="37">
        <f>TBL_CalcDarwin[[#This Row],[Expansión - Barra B - 5.2 - Cerro]]</f>
        <v>3</v>
      </c>
      <c r="AU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47" s="29">
        <f>TBL_CalcDarwin[[#This Row],[Expansión - Barra B - 5.2 - Cerro]]*TBL_CalcDarwin[[#This Row],[AEG 5.2 MW Cerro]]</f>
        <v>2.9489999999999998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5">
        <f t="shared" si="0"/>
        <v>45585.916666666562</v>
      </c>
      <c r="C48" s="17">
        <f t="shared" ref="C48:C52" si="4">C47+TIME(1,0,0)</f>
        <v>1.9166666666666679</v>
      </c>
      <c r="D48" s="34">
        <f>TBL_CalcDarwin[[#This Row],[Darwin PLOM
MW]]+TBL_CalcDarwin[[#This Row],[Darwin PLOME
MW]]</f>
        <v>100.90100000000001</v>
      </c>
      <c r="E48" s="34">
        <f>TBL_CalcDarwin[[#This Row],[PLOM MW TOTAL BARRA A]]+TBL_CalcDarwin[[#This Row],[PLOM MW TOTAL BARRA B]]</f>
        <v>94.38900000000001</v>
      </c>
      <c r="F48" s="34">
        <f>TBL_CalcDarwin[[#This Row],[PLOME MW TOTAL BARRA A]]+TBL_CalcDarwin[[#This Row],[PLOME MW TOTAL BARRA B]]</f>
        <v>6.5119999999999996</v>
      </c>
      <c r="G48" s="48">
        <f>'Plantilla Datos'!D53</f>
        <v>6.5</v>
      </c>
      <c r="H48" s="48">
        <f>'Plantilla Datos'!E53</f>
        <v>8.1999999999999993</v>
      </c>
      <c r="I48" s="49">
        <f>'Plantilla Datos'!F53</f>
        <v>16.3</v>
      </c>
      <c r="J48" s="47">
        <f>CEILING('Plantilla Datos'!$L$3*TBL_CalcDarwin[[#This Row],[Darwin Gusts
m/s]],0.5)</f>
        <v>6</v>
      </c>
      <c r="K48" s="47">
        <f>CEILING('Plantilla Datos'!$L$4*TBL_CalcDarwin[[#This Row],[Darwin Gusts
m/s]],0.5)</f>
        <v>7</v>
      </c>
      <c r="L48" s="47">
        <f>CEILING(TBL_CalcDarwin[[#This Row],[Darwin Gusts
m/s]],0.5)</f>
        <v>8.5</v>
      </c>
      <c r="M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48" s="41">
        <f>INDEX(Curva_Temp[Temp],MATCH(TBL_CalcDarwin[[#This Row],[Darwin Temp.
°C]],Curva_Temp[Temp]))</f>
        <v>15</v>
      </c>
      <c r="R48" s="41">
        <f>INDEX(Curva_Temp[Warranted Power Curve for 
1.194Kg/m3 air density '[kW']
SG 5.0-145 (AM+1, 5.2MW) AT 
90M],MATCH(TBL_CalcDarwin[[#This Row],[Darwin Temp.
°C]],Curva_Temp[Temp]))</f>
        <v>5200</v>
      </c>
      <c r="S48" s="41" cm="1">
        <f t="array" ref="S48">INDEX(Curva_Temp[Temp],MATCH(TBL_CalcDarwin[[#This Row],[Darwin Temp.
°C]],Curva_Temp[Temp])+1)</f>
        <v>20</v>
      </c>
      <c r="T48" s="41" cm="1">
        <f t="array" ref="T48">INDEX(Curva_Temp[Warranted Power Curve for 
1.194Kg/m3 air density '[kW']
SG 5.0-145 (AM+1, 5.2MW) AT 
90M],MATCH(TBL_CalcDarwin[[#This Row],[Darwin Temp.
°C]],Curva_Temp[Temp])+1)</f>
        <v>5000</v>
      </c>
      <c r="U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48" s="41">
        <f>INDEX(Curva_Temp[Temp],MATCH(TBL_CalcDarwin[[#This Row],[Darwin Temp.
°C]],Curva_Temp[Temp]))</f>
        <v>15</v>
      </c>
      <c r="Z48" s="41">
        <f>INDEX(Curva_Temp[Warranted Power Curve for 
1.194Kg/m3 air density '[kW']
SG 5.0-145 (AM 0, 5.0MW) AT 
90M],MATCH(TBL_CalcDarwin[[#This Row],[Darwin Temp.
°C]],Curva_Temp[Temp]))</f>
        <v>5000</v>
      </c>
      <c r="AA48" s="41" cm="1">
        <f t="array" ref="AA48">INDEX(Curva_Temp[Temp],MATCH(TBL_CalcDarwin[[#This Row],[Darwin Temp.
°C]],Curva_Temp[Temp])+1)</f>
        <v>20</v>
      </c>
      <c r="AB48" s="41" cm="1">
        <f t="array" ref="AB48">INDEX(Curva_Temp[Warranted Power Curve for 
1.194Kg/m3 air density '[kW']
SG 5.0-145 (AM 0, 5.0MW) AT 
90M],MATCH(TBL_CalcDarwin[[#This Row],[Darwin Temp.
°C]],Curva_Temp[Temp])+1)</f>
        <v>5000</v>
      </c>
      <c r="AC48" s="45">
        <f>HLOOKUP(TBL_CalcDarwin[[#This Row],[Fecha]],'Plantilla AEG ES'!$E$1:$HX$13,2,FALSE)</f>
        <v>6</v>
      </c>
      <c r="AD48" s="45">
        <f>HLOOKUP(TBL_CalcDarwin[[#This Row],[Fecha]],'Plantilla AEG ES'!$E$1:$HX$13,3,FALSE)</f>
        <v>7</v>
      </c>
      <c r="AE48" s="45">
        <f>HLOOKUP(TBL_CalcDarwin[[#This Row],[Fecha]],'Plantilla AEG ES'!$E$1:$HX$13,4,FALSE)</f>
        <v>9</v>
      </c>
      <c r="AF48" s="45">
        <f>HLOOKUP(TBL_CalcDarwin[[#This Row],[Fecha]],'Plantilla AEG ES'!$E$1:$HX$13,5,FALSE)</f>
        <v>2</v>
      </c>
      <c r="AG48" s="45">
        <f>HLOOKUP(TBL_CalcDarwin[[#This Row],[Fecha]],'Plantilla AEG ES'!$E$1:$HX$13,6,FALSE)</f>
        <v>1</v>
      </c>
      <c r="AH48" s="45">
        <f>HLOOKUP(TBL_CalcDarwin[[#This Row],[Fecha]],'Plantilla AEG ES'!$E$1:$HX$13,7,FALSE)</f>
        <v>0</v>
      </c>
      <c r="AI48" s="46">
        <f>HLOOKUP(TBL_CalcDarwin[[#This Row],[Fecha]],'Plantilla AEG ES'!$E$1:$HX$13,8,FALSE)</f>
        <v>0</v>
      </c>
      <c r="AJ48" s="46">
        <f>HLOOKUP(TBL_CalcDarwin[[#This Row],[Fecha]],'Plantilla AEG ES'!$E$1:$HX$13,9,FALSE)</f>
        <v>1</v>
      </c>
      <c r="AK48" s="46">
        <f>HLOOKUP(TBL_CalcDarwin[[#This Row],[Fecha]],'Plantilla AEG ES'!$E$1:$HX$13,10,FALSE)</f>
        <v>12</v>
      </c>
      <c r="AL48" s="46">
        <f>HLOOKUP(TBL_CalcDarwin[[#This Row],[Fecha]],'Plantilla AEG ES'!$E$1:$HX$13,11,FALSE)</f>
        <v>1</v>
      </c>
      <c r="AM48" s="46">
        <f>HLOOKUP(TBL_CalcDarwin[[#This Row],[Fecha]],'Plantilla AEG ES'!$E$1:$HX$13,12,FALSE)</f>
        <v>5</v>
      </c>
      <c r="AN48" s="46">
        <f>HLOOKUP(TBL_CalcDarwin[[#This Row],[Fecha]],'Plantilla AEG ES'!$E$1:$HX$13,13,FALSE)</f>
        <v>3</v>
      </c>
      <c r="AO48" s="37">
        <f>TBL_CalcDarwin[[#This Row],[Lomitas - Barra A - 5.2 - Cerro]]+TBL_CalcDarwin[[#This Row],[Lomitas - Barra A - 5.2 - Medio]]+TBL_CalcDarwin[[#This Row],[Lomitas - Barra A - 5.2 - Mar]]</f>
        <v>22</v>
      </c>
      <c r="AP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42.978999999999999</v>
      </c>
      <c r="AR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51.410000000000004</v>
      </c>
      <c r="AS48" s="37">
        <f>TBL_CalcDarwin[[#This Row],[Expansión - Barra A - 5.2 - Cerro]]+TBL_CalcDarwin[[#This Row],[Expansión - Barra A - 5.2 - Medio]]+TBL_CalcDarwin[[#This Row],[Expansión - Barra A - 5.2 - Mar]]</f>
        <v>3</v>
      </c>
      <c r="AT48" s="37">
        <f>TBL_CalcDarwin[[#This Row],[Expansión - Barra B - 5.2 - Cerro]]</f>
        <v>3</v>
      </c>
      <c r="AU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48" s="29">
        <f>TBL_CalcDarwin[[#This Row],[Expansión - Barra B - 5.2 - Cerro]]*TBL_CalcDarwin[[#This Row],[AEG 5.2 MW Cerro]]</f>
        <v>2.9489999999999998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5">
        <f t="shared" si="0"/>
        <v>45585.958333333227</v>
      </c>
      <c r="C49" s="17">
        <f t="shared" si="4"/>
        <v>1.9583333333333346</v>
      </c>
      <c r="D49" s="34">
        <f>TBL_CalcDarwin[[#This Row],[Darwin PLOM
MW]]+TBL_CalcDarwin[[#This Row],[Darwin PLOME
MW]]</f>
        <v>88.746999999999986</v>
      </c>
      <c r="E49" s="34">
        <f>TBL_CalcDarwin[[#This Row],[PLOM MW TOTAL BARRA A]]+TBL_CalcDarwin[[#This Row],[PLOM MW TOTAL BARRA B]]</f>
        <v>82.234999999999985</v>
      </c>
      <c r="F49" s="34">
        <f>TBL_CalcDarwin[[#This Row],[PLOME MW TOTAL BARRA A]]+TBL_CalcDarwin[[#This Row],[PLOME MW TOTAL BARRA B]]</f>
        <v>6.5119999999999996</v>
      </c>
      <c r="G49" s="48">
        <f>'Plantilla Datos'!D54</f>
        <v>6.1</v>
      </c>
      <c r="H49" s="48">
        <f>'Plantilla Datos'!E54</f>
        <v>7.7</v>
      </c>
      <c r="I49" s="49">
        <f>'Plantilla Datos'!F54</f>
        <v>16.2</v>
      </c>
      <c r="J49" s="47">
        <f>CEILING('Plantilla Datos'!$L$3*TBL_CalcDarwin[[#This Row],[Darwin Gusts
m/s]],0.5)</f>
        <v>6</v>
      </c>
      <c r="K49" s="47">
        <f>CEILING('Plantilla Datos'!$L$4*TBL_CalcDarwin[[#This Row],[Darwin Gusts
m/s]],0.5)</f>
        <v>7</v>
      </c>
      <c r="L49" s="47">
        <f>CEILING(TBL_CalcDarwin[[#This Row],[Darwin Gusts
m/s]],0.5)</f>
        <v>8</v>
      </c>
      <c r="M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49" s="41">
        <f>INDEX(Curva_Temp[Temp],MATCH(TBL_CalcDarwin[[#This Row],[Darwin Temp.
°C]],Curva_Temp[Temp]))</f>
        <v>15</v>
      </c>
      <c r="R49" s="41">
        <f>INDEX(Curva_Temp[Warranted Power Curve for 
1.194Kg/m3 air density '[kW']
SG 5.0-145 (AM+1, 5.2MW) AT 
90M],MATCH(TBL_CalcDarwin[[#This Row],[Darwin Temp.
°C]],Curva_Temp[Temp]))</f>
        <v>5200</v>
      </c>
      <c r="S49" s="41" cm="1">
        <f t="array" ref="S49">INDEX(Curva_Temp[Temp],MATCH(TBL_CalcDarwin[[#This Row],[Darwin Temp.
°C]],Curva_Temp[Temp])+1)</f>
        <v>20</v>
      </c>
      <c r="T49" s="41" cm="1">
        <f t="array" ref="T49">INDEX(Curva_Temp[Warranted Power Curve for 
1.194Kg/m3 air density '[kW']
SG 5.0-145 (AM+1, 5.2MW) AT 
90M],MATCH(TBL_CalcDarwin[[#This Row],[Darwin Temp.
°C]],Curva_Temp[Temp])+1)</f>
        <v>5000</v>
      </c>
      <c r="U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49" s="41">
        <f>INDEX(Curva_Temp[Temp],MATCH(TBL_CalcDarwin[[#This Row],[Darwin Temp.
°C]],Curva_Temp[Temp]))</f>
        <v>15</v>
      </c>
      <c r="Z49" s="41">
        <f>INDEX(Curva_Temp[Warranted Power Curve for 
1.194Kg/m3 air density '[kW']
SG 5.0-145 (AM 0, 5.0MW) AT 
90M],MATCH(TBL_CalcDarwin[[#This Row],[Darwin Temp.
°C]],Curva_Temp[Temp]))</f>
        <v>5000</v>
      </c>
      <c r="AA49" s="41" cm="1">
        <f t="array" ref="AA49">INDEX(Curva_Temp[Temp],MATCH(TBL_CalcDarwin[[#This Row],[Darwin Temp.
°C]],Curva_Temp[Temp])+1)</f>
        <v>20</v>
      </c>
      <c r="AB49" s="41" cm="1">
        <f t="array" ref="AB49">INDEX(Curva_Temp[Warranted Power Curve for 
1.194Kg/m3 air density '[kW']
SG 5.0-145 (AM 0, 5.0MW) AT 
90M],MATCH(TBL_CalcDarwin[[#This Row],[Darwin Temp.
°C]],Curva_Temp[Temp])+1)</f>
        <v>5000</v>
      </c>
      <c r="AC49" s="45">
        <f>HLOOKUP(TBL_CalcDarwin[[#This Row],[Fecha]],'Plantilla AEG ES'!$E$1:$HX$13,2,FALSE)</f>
        <v>6</v>
      </c>
      <c r="AD49" s="45">
        <f>HLOOKUP(TBL_CalcDarwin[[#This Row],[Fecha]],'Plantilla AEG ES'!$E$1:$HX$13,3,FALSE)</f>
        <v>7</v>
      </c>
      <c r="AE49" s="45">
        <f>HLOOKUP(TBL_CalcDarwin[[#This Row],[Fecha]],'Plantilla AEG ES'!$E$1:$HX$13,4,FALSE)</f>
        <v>9</v>
      </c>
      <c r="AF49" s="45">
        <f>HLOOKUP(TBL_CalcDarwin[[#This Row],[Fecha]],'Plantilla AEG ES'!$E$1:$HX$13,5,FALSE)</f>
        <v>2</v>
      </c>
      <c r="AG49" s="45">
        <f>HLOOKUP(TBL_CalcDarwin[[#This Row],[Fecha]],'Plantilla AEG ES'!$E$1:$HX$13,6,FALSE)</f>
        <v>1</v>
      </c>
      <c r="AH49" s="45">
        <f>HLOOKUP(TBL_CalcDarwin[[#This Row],[Fecha]],'Plantilla AEG ES'!$E$1:$HX$13,7,FALSE)</f>
        <v>0</v>
      </c>
      <c r="AI49" s="46">
        <f>HLOOKUP(TBL_CalcDarwin[[#This Row],[Fecha]],'Plantilla AEG ES'!$E$1:$HX$13,8,FALSE)</f>
        <v>0</v>
      </c>
      <c r="AJ49" s="46">
        <f>HLOOKUP(TBL_CalcDarwin[[#This Row],[Fecha]],'Plantilla AEG ES'!$E$1:$HX$13,9,FALSE)</f>
        <v>1</v>
      </c>
      <c r="AK49" s="46">
        <f>HLOOKUP(TBL_CalcDarwin[[#This Row],[Fecha]],'Plantilla AEG ES'!$E$1:$HX$13,10,FALSE)</f>
        <v>12</v>
      </c>
      <c r="AL49" s="46">
        <f>HLOOKUP(TBL_CalcDarwin[[#This Row],[Fecha]],'Plantilla AEG ES'!$E$1:$HX$13,11,FALSE)</f>
        <v>1</v>
      </c>
      <c r="AM49" s="46">
        <f>HLOOKUP(TBL_CalcDarwin[[#This Row],[Fecha]],'Plantilla AEG ES'!$E$1:$HX$13,12,FALSE)</f>
        <v>5</v>
      </c>
      <c r="AN49" s="46">
        <f>HLOOKUP(TBL_CalcDarwin[[#This Row],[Fecha]],'Plantilla AEG ES'!$E$1:$HX$13,13,FALSE)</f>
        <v>3</v>
      </c>
      <c r="AO49" s="37">
        <f>TBL_CalcDarwin[[#This Row],[Lomitas - Barra A - 5.2 - Cerro]]+TBL_CalcDarwin[[#This Row],[Lomitas - Barra A - 5.2 - Medio]]+TBL_CalcDarwin[[#This Row],[Lomitas - Barra A - 5.2 - Mar]]</f>
        <v>22</v>
      </c>
      <c r="AP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38.757999999999996</v>
      </c>
      <c r="AR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43.476999999999997</v>
      </c>
      <c r="AS49" s="37">
        <f>TBL_CalcDarwin[[#This Row],[Expansión - Barra A - 5.2 - Cerro]]+TBL_CalcDarwin[[#This Row],[Expansión - Barra A - 5.2 - Medio]]+TBL_CalcDarwin[[#This Row],[Expansión - Barra A - 5.2 - Mar]]</f>
        <v>3</v>
      </c>
      <c r="AT49" s="37">
        <f>TBL_CalcDarwin[[#This Row],[Expansión - Barra B - 5.2 - Cerro]]</f>
        <v>3</v>
      </c>
      <c r="AU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49" s="29">
        <f>TBL_CalcDarwin[[#This Row],[Expansión - Barra B - 5.2 - Cerro]]*TBL_CalcDarwin[[#This Row],[AEG 5.2 MW Cerro]]</f>
        <v>2.9489999999999998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5">
        <f t="shared" si="0"/>
        <v>45585.999999999891</v>
      </c>
      <c r="C50" s="17">
        <f t="shared" si="4"/>
        <v>2.0000000000000013</v>
      </c>
      <c r="D50" s="34">
        <f>TBL_CalcDarwin[[#This Row],[Darwin PLOM
MW]]+TBL_CalcDarwin[[#This Row],[Darwin PLOME
MW]]</f>
        <v>79.186999999999998</v>
      </c>
      <c r="E50" s="34">
        <f>TBL_CalcDarwin[[#This Row],[PLOM MW TOTAL BARRA A]]+TBL_CalcDarwin[[#This Row],[PLOM MW TOTAL BARRA B]]</f>
        <v>76.430999999999997</v>
      </c>
      <c r="F50" s="34">
        <f>TBL_CalcDarwin[[#This Row],[PLOME MW TOTAL BARRA A]]+TBL_CalcDarwin[[#This Row],[PLOME MW TOTAL BARRA B]]</f>
        <v>2.7560000000000002</v>
      </c>
      <c r="G50" s="48">
        <f>'Plantilla Datos'!D55</f>
        <v>5.7</v>
      </c>
      <c r="H50" s="48">
        <f>'Plantilla Datos'!E55</f>
        <v>7.3</v>
      </c>
      <c r="I50" s="49">
        <f>'Plantilla Datos'!F55</f>
        <v>16.100000000000001</v>
      </c>
      <c r="J50" s="47">
        <f>CEILING('Plantilla Datos'!$L$3*TBL_CalcDarwin[[#This Row],[Darwin Gusts
m/s]],0.5)</f>
        <v>5.5</v>
      </c>
      <c r="K50" s="47">
        <f>CEILING('Plantilla Datos'!$L$4*TBL_CalcDarwin[[#This Row],[Darwin Gusts
m/s]],0.5)</f>
        <v>6.5</v>
      </c>
      <c r="L50" s="47">
        <f>CEILING(TBL_CalcDarwin[[#This Row],[Darwin Gusts
m/s]],0.5)</f>
        <v>7.5</v>
      </c>
      <c r="M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50" s="41">
        <f>INDEX(Curva_Temp[Temp],MATCH(TBL_CalcDarwin[[#This Row],[Darwin Temp.
°C]],Curva_Temp[Temp]))</f>
        <v>15</v>
      </c>
      <c r="R50" s="41">
        <f>INDEX(Curva_Temp[Warranted Power Curve for 
1.194Kg/m3 air density '[kW']
SG 5.0-145 (AM+1, 5.2MW) AT 
90M],MATCH(TBL_CalcDarwin[[#This Row],[Darwin Temp.
°C]],Curva_Temp[Temp]))</f>
        <v>5200</v>
      </c>
      <c r="S50" s="41" cm="1">
        <f t="array" ref="S50">INDEX(Curva_Temp[Temp],MATCH(TBL_CalcDarwin[[#This Row],[Darwin Temp.
°C]],Curva_Temp[Temp])+1)</f>
        <v>20</v>
      </c>
      <c r="T50" s="41" cm="1">
        <f t="array" ref="T50">INDEX(Curva_Temp[Warranted Power Curve for 
1.194Kg/m3 air density '[kW']
SG 5.0-145 (AM+1, 5.2MW) AT 
90M],MATCH(TBL_CalcDarwin[[#This Row],[Darwin Temp.
°C]],Curva_Temp[Temp])+1)</f>
        <v>5000</v>
      </c>
      <c r="U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50" s="41">
        <f>INDEX(Curva_Temp[Temp],MATCH(TBL_CalcDarwin[[#This Row],[Darwin Temp.
°C]],Curva_Temp[Temp]))</f>
        <v>15</v>
      </c>
      <c r="Z50" s="41">
        <f>INDEX(Curva_Temp[Warranted Power Curve for 
1.194Kg/m3 air density '[kW']
SG 5.0-145 (AM 0, 5.0MW) AT 
90M],MATCH(TBL_CalcDarwin[[#This Row],[Darwin Temp.
°C]],Curva_Temp[Temp]))</f>
        <v>5000</v>
      </c>
      <c r="AA50" s="41" cm="1">
        <f t="array" ref="AA50">INDEX(Curva_Temp[Temp],MATCH(TBL_CalcDarwin[[#This Row],[Darwin Temp.
°C]],Curva_Temp[Temp])+1)</f>
        <v>20</v>
      </c>
      <c r="AB50" s="41" cm="1">
        <f t="array" ref="AB50">INDEX(Curva_Temp[Warranted Power Curve for 
1.194Kg/m3 air density '[kW']
SG 5.0-145 (AM 0, 5.0MW) AT 
90M],MATCH(TBL_CalcDarwin[[#This Row],[Darwin Temp.
°C]],Curva_Temp[Temp])+1)</f>
        <v>5000</v>
      </c>
      <c r="AC50" s="45">
        <f>HLOOKUP(TBL_CalcDarwin[[#This Row],[Fecha]],'Plantilla AEG ES'!$E$1:$HX$13,2,FALSE)</f>
        <v>5</v>
      </c>
      <c r="AD50" s="45">
        <f>HLOOKUP(TBL_CalcDarwin[[#This Row],[Fecha]],'Plantilla AEG ES'!$E$1:$HX$13,3,FALSE)</f>
        <v>7</v>
      </c>
      <c r="AE50" s="45">
        <f>HLOOKUP(TBL_CalcDarwin[[#This Row],[Fecha]],'Plantilla AEG ES'!$E$1:$HX$13,4,FALSE)</f>
        <v>11</v>
      </c>
      <c r="AF50" s="45">
        <f>HLOOKUP(TBL_CalcDarwin[[#This Row],[Fecha]],'Plantilla AEG ES'!$E$1:$HX$13,5,FALSE)</f>
        <v>1</v>
      </c>
      <c r="AG50" s="45">
        <f>HLOOKUP(TBL_CalcDarwin[[#This Row],[Fecha]],'Plantilla AEG ES'!$E$1:$HX$13,6,FALSE)</f>
        <v>1</v>
      </c>
      <c r="AH50" s="45">
        <f>HLOOKUP(TBL_CalcDarwin[[#This Row],[Fecha]],'Plantilla AEG ES'!$E$1:$HX$13,7,FALSE)</f>
        <v>0</v>
      </c>
      <c r="AI50" s="46">
        <f>HLOOKUP(TBL_CalcDarwin[[#This Row],[Fecha]],'Plantilla AEG ES'!$E$1:$HX$13,8,FALSE)</f>
        <v>0</v>
      </c>
      <c r="AJ50" s="46">
        <f>HLOOKUP(TBL_CalcDarwin[[#This Row],[Fecha]],'Plantilla AEG ES'!$E$1:$HX$13,9,FALSE)</f>
        <v>3</v>
      </c>
      <c r="AK50" s="46">
        <f>HLOOKUP(TBL_CalcDarwin[[#This Row],[Fecha]],'Plantilla AEG ES'!$E$1:$HX$13,10,FALSE)</f>
        <v>12</v>
      </c>
      <c r="AL50" s="46">
        <f>HLOOKUP(TBL_CalcDarwin[[#This Row],[Fecha]],'Plantilla AEG ES'!$E$1:$HX$13,11,FALSE)</f>
        <v>1</v>
      </c>
      <c r="AM50" s="46">
        <f>HLOOKUP(TBL_CalcDarwin[[#This Row],[Fecha]],'Plantilla AEG ES'!$E$1:$HX$13,12,FALSE)</f>
        <v>7</v>
      </c>
      <c r="AN50" s="46">
        <f>HLOOKUP(TBL_CalcDarwin[[#This Row],[Fecha]],'Plantilla AEG ES'!$E$1:$HX$13,13,FALSE)</f>
        <v>1</v>
      </c>
      <c r="AO50" s="37">
        <f>TBL_CalcDarwin[[#This Row],[Lomitas - Barra A - 5.2 - Cerro]]+TBL_CalcDarwin[[#This Row],[Lomitas - Barra A - 5.2 - Medio]]+TBL_CalcDarwin[[#This Row],[Lomitas - Barra A - 5.2 - Mar]]</f>
        <v>23</v>
      </c>
      <c r="AP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50" s="37">
        <f>TBL_CalcDarwin[[#This Row],[Expansión - Barra A - 5.2 - Cerro]]+TBL_CalcDarwin[[#This Row],[Expansión - Barra A - 5.2 - Medio]]+TBL_CalcDarwin[[#This Row],[Expansión - Barra A - 5.2 - Mar]]</f>
        <v>2</v>
      </c>
      <c r="AT50" s="37">
        <f>TBL_CalcDarwin[[#This Row],[Expansión - Barra B - 5.2 - Cerro]]</f>
        <v>1</v>
      </c>
      <c r="AU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50" s="29">
        <f>TBL_CalcDarwin[[#This Row],[Expansión - Barra B - 5.2 - Cerro]]*TBL_CalcDarwin[[#This Row],[AEG 5.2 MW Cerro]]</f>
        <v>0.745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5">
        <f t="shared" si="0"/>
        <v>45586.041666666555</v>
      </c>
      <c r="C51" s="17">
        <f t="shared" si="4"/>
        <v>2.0416666666666679</v>
      </c>
      <c r="D51" s="34">
        <f>TBL_CalcDarwin[[#This Row],[Darwin PLOM
MW]]+TBL_CalcDarwin[[#This Row],[Darwin PLOME
MW]]</f>
        <v>63.076999999999998</v>
      </c>
      <c r="E51" s="34">
        <f>TBL_CalcDarwin[[#This Row],[PLOM MW TOTAL BARRA A]]+TBL_CalcDarwin[[#This Row],[PLOM MW TOTAL BARRA B]]</f>
        <v>61</v>
      </c>
      <c r="F51" s="34">
        <f>TBL_CalcDarwin[[#This Row],[PLOME MW TOTAL BARRA A]]+TBL_CalcDarwin[[#This Row],[PLOME MW TOTAL BARRA B]]</f>
        <v>2.077</v>
      </c>
      <c r="G51" s="48">
        <f>'Plantilla Datos'!D56</f>
        <v>5.3</v>
      </c>
      <c r="H51" s="48">
        <f>'Plantilla Datos'!E56</f>
        <v>6.8</v>
      </c>
      <c r="I51" s="49">
        <f>'Plantilla Datos'!F56</f>
        <v>16.100000000000001</v>
      </c>
      <c r="J51" s="47">
        <f>CEILING('Plantilla Datos'!$L$3*TBL_CalcDarwin[[#This Row],[Darwin Gusts
m/s]],0.5)</f>
        <v>5</v>
      </c>
      <c r="K51" s="47">
        <f>CEILING('Plantilla Datos'!$L$4*TBL_CalcDarwin[[#This Row],[Darwin Gusts
m/s]],0.5)</f>
        <v>6</v>
      </c>
      <c r="L51" s="47">
        <f>CEILING(TBL_CalcDarwin[[#This Row],[Darwin Gusts
m/s]],0.5)</f>
        <v>7</v>
      </c>
      <c r="M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51" s="41">
        <f>INDEX(Curva_Temp[Temp],MATCH(TBL_CalcDarwin[[#This Row],[Darwin Temp.
°C]],Curva_Temp[Temp]))</f>
        <v>15</v>
      </c>
      <c r="R51" s="41">
        <f>INDEX(Curva_Temp[Warranted Power Curve for 
1.194Kg/m3 air density '[kW']
SG 5.0-145 (AM+1, 5.2MW) AT 
90M],MATCH(TBL_CalcDarwin[[#This Row],[Darwin Temp.
°C]],Curva_Temp[Temp]))</f>
        <v>5200</v>
      </c>
      <c r="S51" s="41" cm="1">
        <f t="array" ref="S51">INDEX(Curva_Temp[Temp],MATCH(TBL_CalcDarwin[[#This Row],[Darwin Temp.
°C]],Curva_Temp[Temp])+1)</f>
        <v>20</v>
      </c>
      <c r="T51" s="41" cm="1">
        <f t="array" ref="T51">INDEX(Curva_Temp[Warranted Power Curve for 
1.194Kg/m3 air density '[kW']
SG 5.0-145 (AM+1, 5.2MW) AT 
90M],MATCH(TBL_CalcDarwin[[#This Row],[Darwin Temp.
°C]],Curva_Temp[Temp])+1)</f>
        <v>5000</v>
      </c>
      <c r="U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51" s="41">
        <f>INDEX(Curva_Temp[Temp],MATCH(TBL_CalcDarwin[[#This Row],[Darwin Temp.
°C]],Curva_Temp[Temp]))</f>
        <v>15</v>
      </c>
      <c r="Z51" s="41">
        <f>INDEX(Curva_Temp[Warranted Power Curve for 
1.194Kg/m3 air density '[kW']
SG 5.0-145 (AM 0, 5.0MW) AT 
90M],MATCH(TBL_CalcDarwin[[#This Row],[Darwin Temp.
°C]],Curva_Temp[Temp]))</f>
        <v>5000</v>
      </c>
      <c r="AA51" s="41" cm="1">
        <f t="array" ref="AA51">INDEX(Curva_Temp[Temp],MATCH(TBL_CalcDarwin[[#This Row],[Darwin Temp.
°C]],Curva_Temp[Temp])+1)</f>
        <v>20</v>
      </c>
      <c r="AB51" s="41" cm="1">
        <f t="array" ref="AB51">INDEX(Curva_Temp[Warranted Power Curve for 
1.194Kg/m3 air density '[kW']
SG 5.0-145 (AM 0, 5.0MW) AT 
90M],MATCH(TBL_CalcDarwin[[#This Row],[Darwin Temp.
°C]],Curva_Temp[Temp])+1)</f>
        <v>5000</v>
      </c>
      <c r="AC51" s="45">
        <f>HLOOKUP(TBL_CalcDarwin[[#This Row],[Fecha]],'Plantilla AEG ES'!$E$1:$HX$13,2,FALSE)</f>
        <v>5</v>
      </c>
      <c r="AD51" s="45">
        <f>HLOOKUP(TBL_CalcDarwin[[#This Row],[Fecha]],'Plantilla AEG ES'!$E$1:$HX$13,3,FALSE)</f>
        <v>7</v>
      </c>
      <c r="AE51" s="45">
        <f>HLOOKUP(TBL_CalcDarwin[[#This Row],[Fecha]],'Plantilla AEG ES'!$E$1:$HX$13,4,FALSE)</f>
        <v>11</v>
      </c>
      <c r="AF51" s="45">
        <f>HLOOKUP(TBL_CalcDarwin[[#This Row],[Fecha]],'Plantilla AEG ES'!$E$1:$HX$13,5,FALSE)</f>
        <v>1</v>
      </c>
      <c r="AG51" s="45">
        <f>HLOOKUP(TBL_CalcDarwin[[#This Row],[Fecha]],'Plantilla AEG ES'!$E$1:$HX$13,6,FALSE)</f>
        <v>1</v>
      </c>
      <c r="AH51" s="45">
        <f>HLOOKUP(TBL_CalcDarwin[[#This Row],[Fecha]],'Plantilla AEG ES'!$E$1:$HX$13,7,FALSE)</f>
        <v>0</v>
      </c>
      <c r="AI51" s="46">
        <f>HLOOKUP(TBL_CalcDarwin[[#This Row],[Fecha]],'Plantilla AEG ES'!$E$1:$HX$13,8,FALSE)</f>
        <v>0</v>
      </c>
      <c r="AJ51" s="46">
        <f>HLOOKUP(TBL_CalcDarwin[[#This Row],[Fecha]],'Plantilla AEG ES'!$E$1:$HX$13,9,FALSE)</f>
        <v>3</v>
      </c>
      <c r="AK51" s="46">
        <f>HLOOKUP(TBL_CalcDarwin[[#This Row],[Fecha]],'Plantilla AEG ES'!$E$1:$HX$13,10,FALSE)</f>
        <v>12</v>
      </c>
      <c r="AL51" s="46">
        <f>HLOOKUP(TBL_CalcDarwin[[#This Row],[Fecha]],'Plantilla AEG ES'!$E$1:$HX$13,11,FALSE)</f>
        <v>1</v>
      </c>
      <c r="AM51" s="46">
        <f>HLOOKUP(TBL_CalcDarwin[[#This Row],[Fecha]],'Plantilla AEG ES'!$E$1:$HX$13,12,FALSE)</f>
        <v>7</v>
      </c>
      <c r="AN51" s="46">
        <f>HLOOKUP(TBL_CalcDarwin[[#This Row],[Fecha]],'Plantilla AEG ES'!$E$1:$HX$13,13,FALSE)</f>
        <v>1</v>
      </c>
      <c r="AO51" s="37">
        <f>TBL_CalcDarwin[[#This Row],[Lomitas - Barra A - 5.2 - Cerro]]+TBL_CalcDarwin[[#This Row],[Lomitas - Barra A - 5.2 - Medio]]+TBL_CalcDarwin[[#This Row],[Lomitas - Barra A - 5.2 - Mar]]</f>
        <v>23</v>
      </c>
      <c r="AP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51" s="37">
        <f>TBL_CalcDarwin[[#This Row],[Expansión - Barra A - 5.2 - Cerro]]+TBL_CalcDarwin[[#This Row],[Expansión - Barra A - 5.2 - Medio]]+TBL_CalcDarwin[[#This Row],[Expansión - Barra A - 5.2 - Mar]]</f>
        <v>2</v>
      </c>
      <c r="AT51" s="37">
        <f>TBL_CalcDarwin[[#This Row],[Expansión - Barra B - 5.2 - Cerro]]</f>
        <v>1</v>
      </c>
      <c r="AU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51" s="29">
        <f>TBL_CalcDarwin[[#This Row],[Expansión - Barra B - 5.2 - Cerro]]*TBL_CalcDarwin[[#This Row],[AEG 5.2 MW Cerro]]</f>
        <v>0.54700000000000004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5">
        <f t="shared" si="0"/>
        <v>45586.083333333219</v>
      </c>
      <c r="C52" s="17">
        <f t="shared" si="4"/>
        <v>2.0833333333333344</v>
      </c>
      <c r="D52" s="34">
        <f>TBL_CalcDarwin[[#This Row],[Darwin PLOM
MW]]+TBL_CalcDarwin[[#This Row],[Darwin PLOME
MW]]</f>
        <v>40.722999999999999</v>
      </c>
      <c r="E52" s="34">
        <f>TBL_CalcDarwin[[#This Row],[PLOM MW TOTAL BARRA A]]+TBL_CalcDarwin[[#This Row],[PLOM MW TOTAL BARRA B]]</f>
        <v>39.213999999999999</v>
      </c>
      <c r="F52" s="34">
        <f>TBL_CalcDarwin[[#This Row],[PLOME MW TOTAL BARRA A]]+TBL_CalcDarwin[[#This Row],[PLOME MW TOTAL BARRA B]]</f>
        <v>1.5089999999999999</v>
      </c>
      <c r="G52" s="48">
        <f>'Plantilla Datos'!D57</f>
        <v>4.5999999999999996</v>
      </c>
      <c r="H52" s="48">
        <f>'Plantilla Datos'!E57</f>
        <v>6</v>
      </c>
      <c r="I52" s="49">
        <f>'Plantilla Datos'!F57</f>
        <v>15.9</v>
      </c>
      <c r="J52" s="47">
        <f>CEILING('Plantilla Datos'!$L$3*TBL_CalcDarwin[[#This Row],[Darwin Gusts
m/s]],0.5)</f>
        <v>4.5</v>
      </c>
      <c r="K52" s="47">
        <f>CEILING('Plantilla Datos'!$L$4*TBL_CalcDarwin[[#This Row],[Darwin Gusts
m/s]],0.5)</f>
        <v>5.5</v>
      </c>
      <c r="L52" s="47">
        <f>CEILING(TBL_CalcDarwin[[#This Row],[Darwin Gusts
m/s]],0.5)</f>
        <v>6</v>
      </c>
      <c r="M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52" s="41">
        <f>INDEX(Curva_Temp[Temp],MATCH(TBL_CalcDarwin[[#This Row],[Darwin Temp.
°C]],Curva_Temp[Temp]))</f>
        <v>15</v>
      </c>
      <c r="R52" s="41">
        <f>INDEX(Curva_Temp[Warranted Power Curve for 
1.194Kg/m3 air density '[kW']
SG 5.0-145 (AM+1, 5.2MW) AT 
90M],MATCH(TBL_CalcDarwin[[#This Row],[Darwin Temp.
°C]],Curva_Temp[Temp]))</f>
        <v>5200</v>
      </c>
      <c r="S52" s="41" cm="1">
        <f t="array" ref="S52">INDEX(Curva_Temp[Temp],MATCH(TBL_CalcDarwin[[#This Row],[Darwin Temp.
°C]],Curva_Temp[Temp])+1)</f>
        <v>20</v>
      </c>
      <c r="T52" s="41" cm="1">
        <f t="array" ref="T52">INDEX(Curva_Temp[Warranted Power Curve for 
1.194Kg/m3 air density '[kW']
SG 5.0-145 (AM+1, 5.2MW) AT 
90M],MATCH(TBL_CalcDarwin[[#This Row],[Darwin Temp.
°C]],Curva_Temp[Temp])+1)</f>
        <v>5000</v>
      </c>
      <c r="U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52" s="41">
        <f>INDEX(Curva_Temp[Temp],MATCH(TBL_CalcDarwin[[#This Row],[Darwin Temp.
°C]],Curva_Temp[Temp]))</f>
        <v>15</v>
      </c>
      <c r="Z52" s="41">
        <f>INDEX(Curva_Temp[Warranted Power Curve for 
1.194Kg/m3 air density '[kW']
SG 5.0-145 (AM 0, 5.0MW) AT 
90M],MATCH(TBL_CalcDarwin[[#This Row],[Darwin Temp.
°C]],Curva_Temp[Temp]))</f>
        <v>5000</v>
      </c>
      <c r="AA52" s="41" cm="1">
        <f t="array" ref="AA52">INDEX(Curva_Temp[Temp],MATCH(TBL_CalcDarwin[[#This Row],[Darwin Temp.
°C]],Curva_Temp[Temp])+1)</f>
        <v>20</v>
      </c>
      <c r="AB52" s="41" cm="1">
        <f t="array" ref="AB52">INDEX(Curva_Temp[Warranted Power Curve for 
1.194Kg/m3 air density '[kW']
SG 5.0-145 (AM 0, 5.0MW) AT 
90M],MATCH(TBL_CalcDarwin[[#This Row],[Darwin Temp.
°C]],Curva_Temp[Temp])+1)</f>
        <v>5000</v>
      </c>
      <c r="AC52" s="45">
        <f>HLOOKUP(TBL_CalcDarwin[[#This Row],[Fecha]],'Plantilla AEG ES'!$E$1:$HX$13,2,FALSE)</f>
        <v>5</v>
      </c>
      <c r="AD52" s="45">
        <f>HLOOKUP(TBL_CalcDarwin[[#This Row],[Fecha]],'Plantilla AEG ES'!$E$1:$HX$13,3,FALSE)</f>
        <v>7</v>
      </c>
      <c r="AE52" s="45">
        <f>HLOOKUP(TBL_CalcDarwin[[#This Row],[Fecha]],'Plantilla AEG ES'!$E$1:$HX$13,4,FALSE)</f>
        <v>11</v>
      </c>
      <c r="AF52" s="45">
        <f>HLOOKUP(TBL_CalcDarwin[[#This Row],[Fecha]],'Plantilla AEG ES'!$E$1:$HX$13,5,FALSE)</f>
        <v>1</v>
      </c>
      <c r="AG52" s="45">
        <f>HLOOKUP(TBL_CalcDarwin[[#This Row],[Fecha]],'Plantilla AEG ES'!$E$1:$HX$13,6,FALSE)</f>
        <v>1</v>
      </c>
      <c r="AH52" s="45">
        <f>HLOOKUP(TBL_CalcDarwin[[#This Row],[Fecha]],'Plantilla AEG ES'!$E$1:$HX$13,7,FALSE)</f>
        <v>0</v>
      </c>
      <c r="AI52" s="46">
        <f>HLOOKUP(TBL_CalcDarwin[[#This Row],[Fecha]],'Plantilla AEG ES'!$E$1:$HX$13,8,FALSE)</f>
        <v>0</v>
      </c>
      <c r="AJ52" s="46">
        <f>HLOOKUP(TBL_CalcDarwin[[#This Row],[Fecha]],'Plantilla AEG ES'!$E$1:$HX$13,9,FALSE)</f>
        <v>3</v>
      </c>
      <c r="AK52" s="46">
        <f>HLOOKUP(TBL_CalcDarwin[[#This Row],[Fecha]],'Plantilla AEG ES'!$E$1:$HX$13,10,FALSE)</f>
        <v>12</v>
      </c>
      <c r="AL52" s="46">
        <f>HLOOKUP(TBL_CalcDarwin[[#This Row],[Fecha]],'Plantilla AEG ES'!$E$1:$HX$13,11,FALSE)</f>
        <v>1</v>
      </c>
      <c r="AM52" s="46">
        <f>HLOOKUP(TBL_CalcDarwin[[#This Row],[Fecha]],'Plantilla AEG ES'!$E$1:$HX$13,12,FALSE)</f>
        <v>7</v>
      </c>
      <c r="AN52" s="46">
        <f>HLOOKUP(TBL_CalcDarwin[[#This Row],[Fecha]],'Plantilla AEG ES'!$E$1:$HX$13,13,FALSE)</f>
        <v>1</v>
      </c>
      <c r="AO52" s="37">
        <f>TBL_CalcDarwin[[#This Row],[Lomitas - Barra A - 5.2 - Cerro]]+TBL_CalcDarwin[[#This Row],[Lomitas - Barra A - 5.2 - Medio]]+TBL_CalcDarwin[[#This Row],[Lomitas - Barra A - 5.2 - Mar]]</f>
        <v>23</v>
      </c>
      <c r="AP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52" s="37">
        <f>TBL_CalcDarwin[[#This Row],[Expansión - Barra A - 5.2 - Cerro]]+TBL_CalcDarwin[[#This Row],[Expansión - Barra A - 5.2 - Medio]]+TBL_CalcDarwin[[#This Row],[Expansión - Barra A - 5.2 - Mar]]</f>
        <v>2</v>
      </c>
      <c r="AT52" s="37">
        <f>TBL_CalcDarwin[[#This Row],[Expansión - Barra B - 5.2 - Cerro]]</f>
        <v>1</v>
      </c>
      <c r="AU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52" s="29">
        <f>TBL_CalcDarwin[[#This Row],[Expansión - Barra B - 5.2 - Cerro]]*TBL_CalcDarwin[[#This Row],[AEG 5.2 MW Cerro]]</f>
        <v>0.38200000000000001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5">
        <f t="shared" si="0"/>
        <v>45586.124999999884</v>
      </c>
      <c r="C53" s="17">
        <f>C52+TIME(1,0,0)</f>
        <v>2.1250000000000009</v>
      </c>
      <c r="D53" s="34">
        <f>TBL_CalcDarwin[[#This Row],[Darwin PLOM
MW]]+TBL_CalcDarwin[[#This Row],[Darwin PLOME
MW]]</f>
        <v>28.465</v>
      </c>
      <c r="E53" s="34">
        <f>TBL_CalcDarwin[[#This Row],[PLOM MW TOTAL BARRA A]]+TBL_CalcDarwin[[#This Row],[PLOM MW TOTAL BARRA B]]</f>
        <v>27.594999999999999</v>
      </c>
      <c r="F53" s="34">
        <f>TBL_CalcDarwin[[#This Row],[PLOME MW TOTAL BARRA A]]+TBL_CalcDarwin[[#This Row],[PLOME MW TOTAL BARRA B]]</f>
        <v>0.87</v>
      </c>
      <c r="G53" s="48">
        <f>'Plantilla Datos'!D58</f>
        <v>3.9</v>
      </c>
      <c r="H53" s="48">
        <f>'Plantilla Datos'!E58</f>
        <v>5.0999999999999996</v>
      </c>
      <c r="I53" s="49">
        <f>'Plantilla Datos'!F58</f>
        <v>15.8</v>
      </c>
      <c r="J53" s="47">
        <f>CEILING('Plantilla Datos'!$L$3*TBL_CalcDarwin[[#This Row],[Darwin Gusts
m/s]],0.5)</f>
        <v>4</v>
      </c>
      <c r="K53" s="47">
        <f>CEILING('Plantilla Datos'!$L$4*TBL_CalcDarwin[[#This Row],[Darwin Gusts
m/s]],0.5)</f>
        <v>4.5</v>
      </c>
      <c r="L53" s="47">
        <f>CEILING(TBL_CalcDarwin[[#This Row],[Darwin Gusts
m/s]],0.5)</f>
        <v>5.5</v>
      </c>
      <c r="M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53" s="41">
        <f>INDEX(Curva_Temp[Temp],MATCH(TBL_CalcDarwin[[#This Row],[Darwin Temp.
°C]],Curva_Temp[Temp]))</f>
        <v>15</v>
      </c>
      <c r="R53" s="41">
        <f>INDEX(Curva_Temp[Warranted Power Curve for 
1.194Kg/m3 air density '[kW']
SG 5.0-145 (AM+1, 5.2MW) AT 
90M],MATCH(TBL_CalcDarwin[[#This Row],[Darwin Temp.
°C]],Curva_Temp[Temp]))</f>
        <v>5200</v>
      </c>
      <c r="S53" s="41" cm="1">
        <f t="array" ref="S53">INDEX(Curva_Temp[Temp],MATCH(TBL_CalcDarwin[[#This Row],[Darwin Temp.
°C]],Curva_Temp[Temp])+1)</f>
        <v>20</v>
      </c>
      <c r="T53" s="41" cm="1">
        <f t="array" ref="T53">INDEX(Curva_Temp[Warranted Power Curve for 
1.194Kg/m3 air density '[kW']
SG 5.0-145 (AM+1, 5.2MW) AT 
90M],MATCH(TBL_CalcDarwin[[#This Row],[Darwin Temp.
°C]],Curva_Temp[Temp])+1)</f>
        <v>5000</v>
      </c>
      <c r="U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53" s="41">
        <f>INDEX(Curva_Temp[Temp],MATCH(TBL_CalcDarwin[[#This Row],[Darwin Temp.
°C]],Curva_Temp[Temp]))</f>
        <v>15</v>
      </c>
      <c r="Z53" s="41">
        <f>INDEX(Curva_Temp[Warranted Power Curve for 
1.194Kg/m3 air density '[kW']
SG 5.0-145 (AM 0, 5.0MW) AT 
90M],MATCH(TBL_CalcDarwin[[#This Row],[Darwin Temp.
°C]],Curva_Temp[Temp]))</f>
        <v>5000</v>
      </c>
      <c r="AA53" s="41" cm="1">
        <f t="array" ref="AA53">INDEX(Curva_Temp[Temp],MATCH(TBL_CalcDarwin[[#This Row],[Darwin Temp.
°C]],Curva_Temp[Temp])+1)</f>
        <v>20</v>
      </c>
      <c r="AB53" s="41" cm="1">
        <f t="array" ref="AB53">INDEX(Curva_Temp[Warranted Power Curve for 
1.194Kg/m3 air density '[kW']
SG 5.0-145 (AM 0, 5.0MW) AT 
90M],MATCH(TBL_CalcDarwin[[#This Row],[Darwin Temp.
°C]],Curva_Temp[Temp])+1)</f>
        <v>5000</v>
      </c>
      <c r="AC53" s="45">
        <f>HLOOKUP(TBL_CalcDarwin[[#This Row],[Fecha]],'Plantilla AEG ES'!$E$1:$HX$13,2,FALSE)</f>
        <v>5</v>
      </c>
      <c r="AD53" s="45">
        <f>HLOOKUP(TBL_CalcDarwin[[#This Row],[Fecha]],'Plantilla AEG ES'!$E$1:$HX$13,3,FALSE)</f>
        <v>7</v>
      </c>
      <c r="AE53" s="45">
        <f>HLOOKUP(TBL_CalcDarwin[[#This Row],[Fecha]],'Plantilla AEG ES'!$E$1:$HX$13,4,FALSE)</f>
        <v>11</v>
      </c>
      <c r="AF53" s="45">
        <f>HLOOKUP(TBL_CalcDarwin[[#This Row],[Fecha]],'Plantilla AEG ES'!$E$1:$HX$13,5,FALSE)</f>
        <v>1</v>
      </c>
      <c r="AG53" s="45">
        <f>HLOOKUP(TBL_CalcDarwin[[#This Row],[Fecha]],'Plantilla AEG ES'!$E$1:$HX$13,6,FALSE)</f>
        <v>1</v>
      </c>
      <c r="AH53" s="45">
        <f>HLOOKUP(TBL_CalcDarwin[[#This Row],[Fecha]],'Plantilla AEG ES'!$E$1:$HX$13,7,FALSE)</f>
        <v>0</v>
      </c>
      <c r="AI53" s="46">
        <f>HLOOKUP(TBL_CalcDarwin[[#This Row],[Fecha]],'Plantilla AEG ES'!$E$1:$HX$13,8,FALSE)</f>
        <v>0</v>
      </c>
      <c r="AJ53" s="46">
        <f>HLOOKUP(TBL_CalcDarwin[[#This Row],[Fecha]],'Plantilla AEG ES'!$E$1:$HX$13,9,FALSE)</f>
        <v>3</v>
      </c>
      <c r="AK53" s="46">
        <f>HLOOKUP(TBL_CalcDarwin[[#This Row],[Fecha]],'Plantilla AEG ES'!$E$1:$HX$13,10,FALSE)</f>
        <v>12</v>
      </c>
      <c r="AL53" s="46">
        <f>HLOOKUP(TBL_CalcDarwin[[#This Row],[Fecha]],'Plantilla AEG ES'!$E$1:$HX$13,11,FALSE)</f>
        <v>1</v>
      </c>
      <c r="AM53" s="46">
        <f>HLOOKUP(TBL_CalcDarwin[[#This Row],[Fecha]],'Plantilla AEG ES'!$E$1:$HX$13,12,FALSE)</f>
        <v>7</v>
      </c>
      <c r="AN53" s="46">
        <f>HLOOKUP(TBL_CalcDarwin[[#This Row],[Fecha]],'Plantilla AEG ES'!$E$1:$HX$13,13,FALSE)</f>
        <v>1</v>
      </c>
      <c r="AO53" s="37">
        <f>TBL_CalcDarwin[[#This Row],[Lomitas - Barra A - 5.2 - Cerro]]+TBL_CalcDarwin[[#This Row],[Lomitas - Barra A - 5.2 - Medio]]+TBL_CalcDarwin[[#This Row],[Lomitas - Barra A - 5.2 - Mar]]</f>
        <v>23</v>
      </c>
      <c r="AP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53" s="37">
        <f>TBL_CalcDarwin[[#This Row],[Expansión - Barra A - 5.2 - Cerro]]+TBL_CalcDarwin[[#This Row],[Expansión - Barra A - 5.2 - Medio]]+TBL_CalcDarwin[[#This Row],[Expansión - Barra A - 5.2 - Mar]]</f>
        <v>2</v>
      </c>
      <c r="AT53" s="37">
        <f>TBL_CalcDarwin[[#This Row],[Expansión - Barra B - 5.2 - Cerro]]</f>
        <v>1</v>
      </c>
      <c r="AU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53" s="29">
        <f>TBL_CalcDarwin[[#This Row],[Expansión - Barra B - 5.2 - Cerro]]*TBL_CalcDarwin[[#This Row],[AEG 5.2 MW Cerro]]</f>
        <v>0.24399999999999999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5">
        <f t="shared" si="0"/>
        <v>45586.166666666548</v>
      </c>
      <c r="C54" s="17">
        <f t="shared" ref="C54:C70" si="5">C53+TIME(1,0,0)</f>
        <v>2.1666666666666674</v>
      </c>
      <c r="D54" s="34">
        <f>TBL_CalcDarwin[[#This Row],[Darwin PLOM
MW]]+TBL_CalcDarwin[[#This Row],[Darwin PLOME
MW]]</f>
        <v>15.102</v>
      </c>
      <c r="E54" s="34">
        <f>TBL_CalcDarwin[[#This Row],[PLOM MW TOTAL BARRA A]]+TBL_CalcDarwin[[#This Row],[PLOM MW TOTAL BARRA B]]</f>
        <v>14.598000000000001</v>
      </c>
      <c r="F54" s="34">
        <f>TBL_CalcDarwin[[#This Row],[PLOME MW TOTAL BARRA A]]+TBL_CalcDarwin[[#This Row],[PLOME MW TOTAL BARRA B]]</f>
        <v>0.504</v>
      </c>
      <c r="G54" s="48">
        <f>'Plantilla Datos'!D59</f>
        <v>3.2</v>
      </c>
      <c r="H54" s="48">
        <f>'Plantilla Datos'!E59</f>
        <v>4.2</v>
      </c>
      <c r="I54" s="49">
        <f>'Plantilla Datos'!F59</f>
        <v>15.7</v>
      </c>
      <c r="J54" s="47">
        <f>CEILING('Plantilla Datos'!$L$3*TBL_CalcDarwin[[#This Row],[Darwin Gusts
m/s]],0.5)</f>
        <v>3.5</v>
      </c>
      <c r="K54" s="47">
        <f>CEILING('Plantilla Datos'!$L$4*TBL_CalcDarwin[[#This Row],[Darwin Gusts
m/s]],0.5)</f>
        <v>4</v>
      </c>
      <c r="L54" s="47">
        <f>CEILING(TBL_CalcDarwin[[#This Row],[Darwin Gusts
m/s]],0.5)</f>
        <v>4.5</v>
      </c>
      <c r="M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54" s="41">
        <f>INDEX(Curva_Temp[Temp],MATCH(TBL_CalcDarwin[[#This Row],[Darwin Temp.
°C]],Curva_Temp[Temp]))</f>
        <v>15</v>
      </c>
      <c r="R54" s="41">
        <f>INDEX(Curva_Temp[Warranted Power Curve for 
1.194Kg/m3 air density '[kW']
SG 5.0-145 (AM+1, 5.2MW) AT 
90M],MATCH(TBL_CalcDarwin[[#This Row],[Darwin Temp.
°C]],Curva_Temp[Temp]))</f>
        <v>5200</v>
      </c>
      <c r="S54" s="41" cm="1">
        <f t="array" ref="S54">INDEX(Curva_Temp[Temp],MATCH(TBL_CalcDarwin[[#This Row],[Darwin Temp.
°C]],Curva_Temp[Temp])+1)</f>
        <v>20</v>
      </c>
      <c r="T54" s="41" cm="1">
        <f t="array" ref="T54">INDEX(Curva_Temp[Warranted Power Curve for 
1.194Kg/m3 air density '[kW']
SG 5.0-145 (AM+1, 5.2MW) AT 
90M],MATCH(TBL_CalcDarwin[[#This Row],[Darwin Temp.
°C]],Curva_Temp[Temp])+1)</f>
        <v>5000</v>
      </c>
      <c r="U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54" s="41">
        <f>INDEX(Curva_Temp[Temp],MATCH(TBL_CalcDarwin[[#This Row],[Darwin Temp.
°C]],Curva_Temp[Temp]))</f>
        <v>15</v>
      </c>
      <c r="Z54" s="41">
        <f>INDEX(Curva_Temp[Warranted Power Curve for 
1.194Kg/m3 air density '[kW']
SG 5.0-145 (AM 0, 5.0MW) AT 
90M],MATCH(TBL_CalcDarwin[[#This Row],[Darwin Temp.
°C]],Curva_Temp[Temp]))</f>
        <v>5000</v>
      </c>
      <c r="AA54" s="41" cm="1">
        <f t="array" ref="AA54">INDEX(Curva_Temp[Temp],MATCH(TBL_CalcDarwin[[#This Row],[Darwin Temp.
°C]],Curva_Temp[Temp])+1)</f>
        <v>20</v>
      </c>
      <c r="AB54" s="41" cm="1">
        <f t="array" ref="AB54">INDEX(Curva_Temp[Warranted Power Curve for 
1.194Kg/m3 air density '[kW']
SG 5.0-145 (AM 0, 5.0MW) AT 
90M],MATCH(TBL_CalcDarwin[[#This Row],[Darwin Temp.
°C]],Curva_Temp[Temp])+1)</f>
        <v>5000</v>
      </c>
      <c r="AC54" s="45">
        <f>HLOOKUP(TBL_CalcDarwin[[#This Row],[Fecha]],'Plantilla AEG ES'!$E$1:$HX$13,2,FALSE)</f>
        <v>5</v>
      </c>
      <c r="AD54" s="45">
        <f>HLOOKUP(TBL_CalcDarwin[[#This Row],[Fecha]],'Plantilla AEG ES'!$E$1:$HX$13,3,FALSE)</f>
        <v>7</v>
      </c>
      <c r="AE54" s="45">
        <f>HLOOKUP(TBL_CalcDarwin[[#This Row],[Fecha]],'Plantilla AEG ES'!$E$1:$HX$13,4,FALSE)</f>
        <v>11</v>
      </c>
      <c r="AF54" s="45">
        <f>HLOOKUP(TBL_CalcDarwin[[#This Row],[Fecha]],'Plantilla AEG ES'!$E$1:$HX$13,5,FALSE)</f>
        <v>1</v>
      </c>
      <c r="AG54" s="45">
        <f>HLOOKUP(TBL_CalcDarwin[[#This Row],[Fecha]],'Plantilla AEG ES'!$E$1:$HX$13,6,FALSE)</f>
        <v>1</v>
      </c>
      <c r="AH54" s="45">
        <f>HLOOKUP(TBL_CalcDarwin[[#This Row],[Fecha]],'Plantilla AEG ES'!$E$1:$HX$13,7,FALSE)</f>
        <v>0</v>
      </c>
      <c r="AI54" s="46">
        <f>HLOOKUP(TBL_CalcDarwin[[#This Row],[Fecha]],'Plantilla AEG ES'!$E$1:$HX$13,8,FALSE)</f>
        <v>0</v>
      </c>
      <c r="AJ54" s="46">
        <f>HLOOKUP(TBL_CalcDarwin[[#This Row],[Fecha]],'Plantilla AEG ES'!$E$1:$HX$13,9,FALSE)</f>
        <v>3</v>
      </c>
      <c r="AK54" s="46">
        <f>HLOOKUP(TBL_CalcDarwin[[#This Row],[Fecha]],'Plantilla AEG ES'!$E$1:$HX$13,10,FALSE)</f>
        <v>12</v>
      </c>
      <c r="AL54" s="46">
        <f>HLOOKUP(TBL_CalcDarwin[[#This Row],[Fecha]],'Plantilla AEG ES'!$E$1:$HX$13,11,FALSE)</f>
        <v>1</v>
      </c>
      <c r="AM54" s="46">
        <f>HLOOKUP(TBL_CalcDarwin[[#This Row],[Fecha]],'Plantilla AEG ES'!$E$1:$HX$13,12,FALSE)</f>
        <v>7</v>
      </c>
      <c r="AN54" s="46">
        <f>HLOOKUP(TBL_CalcDarwin[[#This Row],[Fecha]],'Plantilla AEG ES'!$E$1:$HX$13,13,FALSE)</f>
        <v>1</v>
      </c>
      <c r="AO54" s="37">
        <f>TBL_CalcDarwin[[#This Row],[Lomitas - Barra A - 5.2 - Cerro]]+TBL_CalcDarwin[[#This Row],[Lomitas - Barra A - 5.2 - Medio]]+TBL_CalcDarwin[[#This Row],[Lomitas - Barra A - 5.2 - Mar]]</f>
        <v>23</v>
      </c>
      <c r="AP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54" s="37">
        <f>TBL_CalcDarwin[[#This Row],[Expansión - Barra A - 5.2 - Cerro]]+TBL_CalcDarwin[[#This Row],[Expansión - Barra A - 5.2 - Medio]]+TBL_CalcDarwin[[#This Row],[Expansión - Barra A - 5.2 - Mar]]</f>
        <v>2</v>
      </c>
      <c r="AT54" s="37">
        <f>TBL_CalcDarwin[[#This Row],[Expansión - Barra B - 5.2 - Cerro]]</f>
        <v>1</v>
      </c>
      <c r="AU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54" s="29">
        <f>TBL_CalcDarwin[[#This Row],[Expansión - Barra B - 5.2 - Cerro]]*TBL_CalcDarwin[[#This Row],[AEG 5.2 MW Cerro]]</f>
        <v>0.13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5">
        <f t="shared" si="0"/>
        <v>45586.208333333212</v>
      </c>
      <c r="C55" s="17">
        <f t="shared" si="5"/>
        <v>2.2083333333333339</v>
      </c>
      <c r="D55" s="34">
        <f>TBL_CalcDarwin[[#This Row],[Darwin PLOM
MW]]+TBL_CalcDarwin[[#This Row],[Darwin PLOME
MW]]</f>
        <v>15.102</v>
      </c>
      <c r="E55" s="34">
        <f>TBL_CalcDarwin[[#This Row],[PLOM MW TOTAL BARRA A]]+TBL_CalcDarwin[[#This Row],[PLOM MW TOTAL BARRA B]]</f>
        <v>14.598000000000001</v>
      </c>
      <c r="F55" s="34">
        <f>TBL_CalcDarwin[[#This Row],[PLOME MW TOTAL BARRA A]]+TBL_CalcDarwin[[#This Row],[PLOME MW TOTAL BARRA B]]</f>
        <v>0.504</v>
      </c>
      <c r="G55" s="48">
        <f>'Plantilla Datos'!D60</f>
        <v>3.2</v>
      </c>
      <c r="H55" s="48">
        <f>'Plantilla Datos'!E60</f>
        <v>4.2</v>
      </c>
      <c r="I55" s="49">
        <f>'Plantilla Datos'!F60</f>
        <v>15.8</v>
      </c>
      <c r="J55" s="47">
        <f>CEILING('Plantilla Datos'!$L$3*TBL_CalcDarwin[[#This Row],[Darwin Gusts
m/s]],0.5)</f>
        <v>3.5</v>
      </c>
      <c r="K55" s="47">
        <f>CEILING('Plantilla Datos'!$L$4*TBL_CalcDarwin[[#This Row],[Darwin Gusts
m/s]],0.5)</f>
        <v>4</v>
      </c>
      <c r="L55" s="47">
        <f>CEILING(TBL_CalcDarwin[[#This Row],[Darwin Gusts
m/s]],0.5)</f>
        <v>4.5</v>
      </c>
      <c r="M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55" s="41">
        <f>INDEX(Curva_Temp[Temp],MATCH(TBL_CalcDarwin[[#This Row],[Darwin Temp.
°C]],Curva_Temp[Temp]))</f>
        <v>15</v>
      </c>
      <c r="R55" s="41">
        <f>INDEX(Curva_Temp[Warranted Power Curve for 
1.194Kg/m3 air density '[kW']
SG 5.0-145 (AM+1, 5.2MW) AT 
90M],MATCH(TBL_CalcDarwin[[#This Row],[Darwin Temp.
°C]],Curva_Temp[Temp]))</f>
        <v>5200</v>
      </c>
      <c r="S55" s="41" cm="1">
        <f t="array" ref="S55">INDEX(Curva_Temp[Temp],MATCH(TBL_CalcDarwin[[#This Row],[Darwin Temp.
°C]],Curva_Temp[Temp])+1)</f>
        <v>20</v>
      </c>
      <c r="T55" s="41" cm="1">
        <f t="array" ref="T55">INDEX(Curva_Temp[Warranted Power Curve for 
1.194Kg/m3 air density '[kW']
SG 5.0-145 (AM+1, 5.2MW) AT 
90M],MATCH(TBL_CalcDarwin[[#This Row],[Darwin Temp.
°C]],Curva_Temp[Temp])+1)</f>
        <v>5000</v>
      </c>
      <c r="U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55" s="41">
        <f>INDEX(Curva_Temp[Temp],MATCH(TBL_CalcDarwin[[#This Row],[Darwin Temp.
°C]],Curva_Temp[Temp]))</f>
        <v>15</v>
      </c>
      <c r="Z55" s="41">
        <f>INDEX(Curva_Temp[Warranted Power Curve for 
1.194Kg/m3 air density '[kW']
SG 5.0-145 (AM 0, 5.0MW) AT 
90M],MATCH(TBL_CalcDarwin[[#This Row],[Darwin Temp.
°C]],Curva_Temp[Temp]))</f>
        <v>5000</v>
      </c>
      <c r="AA55" s="41" cm="1">
        <f t="array" ref="AA55">INDEX(Curva_Temp[Temp],MATCH(TBL_CalcDarwin[[#This Row],[Darwin Temp.
°C]],Curva_Temp[Temp])+1)</f>
        <v>20</v>
      </c>
      <c r="AB55" s="41" cm="1">
        <f t="array" ref="AB55">INDEX(Curva_Temp[Warranted Power Curve for 
1.194Kg/m3 air density '[kW']
SG 5.0-145 (AM 0, 5.0MW) AT 
90M],MATCH(TBL_CalcDarwin[[#This Row],[Darwin Temp.
°C]],Curva_Temp[Temp])+1)</f>
        <v>5000</v>
      </c>
      <c r="AC55" s="45">
        <f>HLOOKUP(TBL_CalcDarwin[[#This Row],[Fecha]],'Plantilla AEG ES'!$E$1:$HX$13,2,FALSE)</f>
        <v>5</v>
      </c>
      <c r="AD55" s="45">
        <f>HLOOKUP(TBL_CalcDarwin[[#This Row],[Fecha]],'Plantilla AEG ES'!$E$1:$HX$13,3,FALSE)</f>
        <v>7</v>
      </c>
      <c r="AE55" s="45">
        <f>HLOOKUP(TBL_CalcDarwin[[#This Row],[Fecha]],'Plantilla AEG ES'!$E$1:$HX$13,4,FALSE)</f>
        <v>11</v>
      </c>
      <c r="AF55" s="45">
        <f>HLOOKUP(TBL_CalcDarwin[[#This Row],[Fecha]],'Plantilla AEG ES'!$E$1:$HX$13,5,FALSE)</f>
        <v>1</v>
      </c>
      <c r="AG55" s="45">
        <f>HLOOKUP(TBL_CalcDarwin[[#This Row],[Fecha]],'Plantilla AEG ES'!$E$1:$HX$13,6,FALSE)</f>
        <v>1</v>
      </c>
      <c r="AH55" s="45">
        <f>HLOOKUP(TBL_CalcDarwin[[#This Row],[Fecha]],'Plantilla AEG ES'!$E$1:$HX$13,7,FALSE)</f>
        <v>0</v>
      </c>
      <c r="AI55" s="46">
        <f>HLOOKUP(TBL_CalcDarwin[[#This Row],[Fecha]],'Plantilla AEG ES'!$E$1:$HX$13,8,FALSE)</f>
        <v>0</v>
      </c>
      <c r="AJ55" s="46">
        <f>HLOOKUP(TBL_CalcDarwin[[#This Row],[Fecha]],'Plantilla AEG ES'!$E$1:$HX$13,9,FALSE)</f>
        <v>3</v>
      </c>
      <c r="AK55" s="46">
        <f>HLOOKUP(TBL_CalcDarwin[[#This Row],[Fecha]],'Plantilla AEG ES'!$E$1:$HX$13,10,FALSE)</f>
        <v>12</v>
      </c>
      <c r="AL55" s="46">
        <f>HLOOKUP(TBL_CalcDarwin[[#This Row],[Fecha]],'Plantilla AEG ES'!$E$1:$HX$13,11,FALSE)</f>
        <v>1</v>
      </c>
      <c r="AM55" s="46">
        <f>HLOOKUP(TBL_CalcDarwin[[#This Row],[Fecha]],'Plantilla AEG ES'!$E$1:$HX$13,12,FALSE)</f>
        <v>7</v>
      </c>
      <c r="AN55" s="46">
        <f>HLOOKUP(TBL_CalcDarwin[[#This Row],[Fecha]],'Plantilla AEG ES'!$E$1:$HX$13,13,FALSE)</f>
        <v>1</v>
      </c>
      <c r="AO55" s="37">
        <f>TBL_CalcDarwin[[#This Row],[Lomitas - Barra A - 5.2 - Cerro]]+TBL_CalcDarwin[[#This Row],[Lomitas - Barra A - 5.2 - Medio]]+TBL_CalcDarwin[[#This Row],[Lomitas - Barra A - 5.2 - Mar]]</f>
        <v>23</v>
      </c>
      <c r="AP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55" s="37">
        <f>TBL_CalcDarwin[[#This Row],[Expansión - Barra A - 5.2 - Cerro]]+TBL_CalcDarwin[[#This Row],[Expansión - Barra A - 5.2 - Medio]]+TBL_CalcDarwin[[#This Row],[Expansión - Barra A - 5.2 - Mar]]</f>
        <v>2</v>
      </c>
      <c r="AT55" s="37">
        <f>TBL_CalcDarwin[[#This Row],[Expansión - Barra B - 5.2 - Cerro]]</f>
        <v>1</v>
      </c>
      <c r="AU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55" s="29">
        <f>TBL_CalcDarwin[[#This Row],[Expansión - Barra B - 5.2 - Cerro]]*TBL_CalcDarwin[[#This Row],[AEG 5.2 MW Cerro]]</f>
        <v>0.13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5">
        <f t="shared" si="0"/>
        <v>45586.249999999876</v>
      </c>
      <c r="C56" s="17">
        <f t="shared" si="5"/>
        <v>2.2500000000000004</v>
      </c>
      <c r="D56" s="34">
        <f>TBL_CalcDarwin[[#This Row],[Darwin PLOM
MW]]+TBL_CalcDarwin[[#This Row],[Darwin PLOME
MW]]</f>
        <v>15.102</v>
      </c>
      <c r="E56" s="34">
        <f>TBL_CalcDarwin[[#This Row],[PLOM MW TOTAL BARRA A]]+TBL_CalcDarwin[[#This Row],[PLOM MW TOTAL BARRA B]]</f>
        <v>14.598000000000001</v>
      </c>
      <c r="F56" s="34">
        <f>TBL_CalcDarwin[[#This Row],[PLOME MW TOTAL BARRA A]]+TBL_CalcDarwin[[#This Row],[PLOME MW TOTAL BARRA B]]</f>
        <v>0.504</v>
      </c>
      <c r="G56" s="48">
        <f>'Plantilla Datos'!D61</f>
        <v>3.2</v>
      </c>
      <c r="H56" s="48">
        <f>'Plantilla Datos'!E61</f>
        <v>4.2</v>
      </c>
      <c r="I56" s="49">
        <f>'Plantilla Datos'!F61</f>
        <v>16.3</v>
      </c>
      <c r="J56" s="47">
        <f>CEILING('Plantilla Datos'!$L$3*TBL_CalcDarwin[[#This Row],[Darwin Gusts
m/s]],0.5)</f>
        <v>3.5</v>
      </c>
      <c r="K56" s="47">
        <f>CEILING('Plantilla Datos'!$L$4*TBL_CalcDarwin[[#This Row],[Darwin Gusts
m/s]],0.5)</f>
        <v>4</v>
      </c>
      <c r="L56" s="47">
        <f>CEILING(TBL_CalcDarwin[[#This Row],[Darwin Gusts
m/s]],0.5)</f>
        <v>4.5</v>
      </c>
      <c r="M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56" s="41">
        <f>INDEX(Curva_Temp[Temp],MATCH(TBL_CalcDarwin[[#This Row],[Darwin Temp.
°C]],Curva_Temp[Temp]))</f>
        <v>15</v>
      </c>
      <c r="R56" s="41">
        <f>INDEX(Curva_Temp[Warranted Power Curve for 
1.194Kg/m3 air density '[kW']
SG 5.0-145 (AM+1, 5.2MW) AT 
90M],MATCH(TBL_CalcDarwin[[#This Row],[Darwin Temp.
°C]],Curva_Temp[Temp]))</f>
        <v>5200</v>
      </c>
      <c r="S56" s="41" cm="1">
        <f t="array" ref="S56">INDEX(Curva_Temp[Temp],MATCH(TBL_CalcDarwin[[#This Row],[Darwin Temp.
°C]],Curva_Temp[Temp])+1)</f>
        <v>20</v>
      </c>
      <c r="T56" s="41" cm="1">
        <f t="array" ref="T56">INDEX(Curva_Temp[Warranted Power Curve for 
1.194Kg/m3 air density '[kW']
SG 5.0-145 (AM+1, 5.2MW) AT 
90M],MATCH(TBL_CalcDarwin[[#This Row],[Darwin Temp.
°C]],Curva_Temp[Temp])+1)</f>
        <v>5000</v>
      </c>
      <c r="U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56" s="41">
        <f>INDEX(Curva_Temp[Temp],MATCH(TBL_CalcDarwin[[#This Row],[Darwin Temp.
°C]],Curva_Temp[Temp]))</f>
        <v>15</v>
      </c>
      <c r="Z56" s="41">
        <f>INDEX(Curva_Temp[Warranted Power Curve for 
1.194Kg/m3 air density '[kW']
SG 5.0-145 (AM 0, 5.0MW) AT 
90M],MATCH(TBL_CalcDarwin[[#This Row],[Darwin Temp.
°C]],Curva_Temp[Temp]))</f>
        <v>5000</v>
      </c>
      <c r="AA56" s="41" cm="1">
        <f t="array" ref="AA56">INDEX(Curva_Temp[Temp],MATCH(TBL_CalcDarwin[[#This Row],[Darwin Temp.
°C]],Curva_Temp[Temp])+1)</f>
        <v>20</v>
      </c>
      <c r="AB56" s="41" cm="1">
        <f t="array" ref="AB56">INDEX(Curva_Temp[Warranted Power Curve for 
1.194Kg/m3 air density '[kW']
SG 5.0-145 (AM 0, 5.0MW) AT 
90M],MATCH(TBL_CalcDarwin[[#This Row],[Darwin Temp.
°C]],Curva_Temp[Temp])+1)</f>
        <v>5000</v>
      </c>
      <c r="AC56" s="45">
        <f>HLOOKUP(TBL_CalcDarwin[[#This Row],[Fecha]],'Plantilla AEG ES'!$E$1:$HX$13,2,FALSE)</f>
        <v>5</v>
      </c>
      <c r="AD56" s="45">
        <f>HLOOKUP(TBL_CalcDarwin[[#This Row],[Fecha]],'Plantilla AEG ES'!$E$1:$HX$13,3,FALSE)</f>
        <v>7</v>
      </c>
      <c r="AE56" s="45">
        <f>HLOOKUP(TBL_CalcDarwin[[#This Row],[Fecha]],'Plantilla AEG ES'!$E$1:$HX$13,4,FALSE)</f>
        <v>11</v>
      </c>
      <c r="AF56" s="45">
        <f>HLOOKUP(TBL_CalcDarwin[[#This Row],[Fecha]],'Plantilla AEG ES'!$E$1:$HX$13,5,FALSE)</f>
        <v>1</v>
      </c>
      <c r="AG56" s="45">
        <f>HLOOKUP(TBL_CalcDarwin[[#This Row],[Fecha]],'Plantilla AEG ES'!$E$1:$HX$13,6,FALSE)</f>
        <v>1</v>
      </c>
      <c r="AH56" s="45">
        <f>HLOOKUP(TBL_CalcDarwin[[#This Row],[Fecha]],'Plantilla AEG ES'!$E$1:$HX$13,7,FALSE)</f>
        <v>0</v>
      </c>
      <c r="AI56" s="46">
        <f>HLOOKUP(TBL_CalcDarwin[[#This Row],[Fecha]],'Plantilla AEG ES'!$E$1:$HX$13,8,FALSE)</f>
        <v>0</v>
      </c>
      <c r="AJ56" s="46">
        <f>HLOOKUP(TBL_CalcDarwin[[#This Row],[Fecha]],'Plantilla AEG ES'!$E$1:$HX$13,9,FALSE)</f>
        <v>3</v>
      </c>
      <c r="AK56" s="46">
        <f>HLOOKUP(TBL_CalcDarwin[[#This Row],[Fecha]],'Plantilla AEG ES'!$E$1:$HX$13,10,FALSE)</f>
        <v>12</v>
      </c>
      <c r="AL56" s="46">
        <f>HLOOKUP(TBL_CalcDarwin[[#This Row],[Fecha]],'Plantilla AEG ES'!$E$1:$HX$13,11,FALSE)</f>
        <v>1</v>
      </c>
      <c r="AM56" s="46">
        <f>HLOOKUP(TBL_CalcDarwin[[#This Row],[Fecha]],'Plantilla AEG ES'!$E$1:$HX$13,12,FALSE)</f>
        <v>7</v>
      </c>
      <c r="AN56" s="46">
        <f>HLOOKUP(TBL_CalcDarwin[[#This Row],[Fecha]],'Plantilla AEG ES'!$E$1:$HX$13,13,FALSE)</f>
        <v>1</v>
      </c>
      <c r="AO56" s="37">
        <f>TBL_CalcDarwin[[#This Row],[Lomitas - Barra A - 5.2 - Cerro]]+TBL_CalcDarwin[[#This Row],[Lomitas - Barra A - 5.2 - Medio]]+TBL_CalcDarwin[[#This Row],[Lomitas - Barra A - 5.2 - Mar]]</f>
        <v>23</v>
      </c>
      <c r="AP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56" s="37">
        <f>TBL_CalcDarwin[[#This Row],[Expansión - Barra A - 5.2 - Cerro]]+TBL_CalcDarwin[[#This Row],[Expansión - Barra A - 5.2 - Medio]]+TBL_CalcDarwin[[#This Row],[Expansión - Barra A - 5.2 - Mar]]</f>
        <v>2</v>
      </c>
      <c r="AT56" s="37">
        <f>TBL_CalcDarwin[[#This Row],[Expansión - Barra B - 5.2 - Cerro]]</f>
        <v>1</v>
      </c>
      <c r="AU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56" s="29">
        <f>TBL_CalcDarwin[[#This Row],[Expansión - Barra B - 5.2 - Cerro]]*TBL_CalcDarwin[[#This Row],[AEG 5.2 MW Cerro]]</f>
        <v>0.13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5">
        <f t="shared" si="0"/>
        <v>45586.291666666541</v>
      </c>
      <c r="C57" s="17">
        <f t="shared" si="5"/>
        <v>2.291666666666667</v>
      </c>
      <c r="D57" s="34">
        <f>TBL_CalcDarwin[[#This Row],[Darwin PLOM
MW]]+TBL_CalcDarwin[[#This Row],[Darwin PLOME
MW]]</f>
        <v>15.102</v>
      </c>
      <c r="E57" s="34">
        <f>TBL_CalcDarwin[[#This Row],[PLOM MW TOTAL BARRA A]]+TBL_CalcDarwin[[#This Row],[PLOM MW TOTAL BARRA B]]</f>
        <v>14.598000000000001</v>
      </c>
      <c r="F57" s="34">
        <f>TBL_CalcDarwin[[#This Row],[PLOME MW TOTAL BARRA A]]+TBL_CalcDarwin[[#This Row],[PLOME MW TOTAL BARRA B]]</f>
        <v>0.504</v>
      </c>
      <c r="G57" s="48">
        <f>'Plantilla Datos'!D62</f>
        <v>3.1</v>
      </c>
      <c r="H57" s="48">
        <f>'Plantilla Datos'!E62</f>
        <v>4.2</v>
      </c>
      <c r="I57" s="49">
        <f>'Plantilla Datos'!F62</f>
        <v>16.5</v>
      </c>
      <c r="J57" s="47">
        <f>CEILING('Plantilla Datos'!$L$3*TBL_CalcDarwin[[#This Row],[Darwin Gusts
m/s]],0.5)</f>
        <v>3.5</v>
      </c>
      <c r="K57" s="47">
        <f>CEILING('Plantilla Datos'!$L$4*TBL_CalcDarwin[[#This Row],[Darwin Gusts
m/s]],0.5)</f>
        <v>4</v>
      </c>
      <c r="L57" s="47">
        <f>CEILING(TBL_CalcDarwin[[#This Row],[Darwin Gusts
m/s]],0.5)</f>
        <v>4.5</v>
      </c>
      <c r="M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57" s="41">
        <f>INDEX(Curva_Temp[Temp],MATCH(TBL_CalcDarwin[[#This Row],[Darwin Temp.
°C]],Curva_Temp[Temp]))</f>
        <v>15</v>
      </c>
      <c r="R57" s="41">
        <f>INDEX(Curva_Temp[Warranted Power Curve for 
1.194Kg/m3 air density '[kW']
SG 5.0-145 (AM+1, 5.2MW) AT 
90M],MATCH(TBL_CalcDarwin[[#This Row],[Darwin Temp.
°C]],Curva_Temp[Temp]))</f>
        <v>5200</v>
      </c>
      <c r="S57" s="41" cm="1">
        <f t="array" ref="S57">INDEX(Curva_Temp[Temp],MATCH(TBL_CalcDarwin[[#This Row],[Darwin Temp.
°C]],Curva_Temp[Temp])+1)</f>
        <v>20</v>
      </c>
      <c r="T57" s="41" cm="1">
        <f t="array" ref="T57">INDEX(Curva_Temp[Warranted Power Curve for 
1.194Kg/m3 air density '[kW']
SG 5.0-145 (AM+1, 5.2MW) AT 
90M],MATCH(TBL_CalcDarwin[[#This Row],[Darwin Temp.
°C]],Curva_Temp[Temp])+1)</f>
        <v>5000</v>
      </c>
      <c r="U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57" s="41">
        <f>INDEX(Curva_Temp[Temp],MATCH(TBL_CalcDarwin[[#This Row],[Darwin Temp.
°C]],Curva_Temp[Temp]))</f>
        <v>15</v>
      </c>
      <c r="Z57" s="41">
        <f>INDEX(Curva_Temp[Warranted Power Curve for 
1.194Kg/m3 air density '[kW']
SG 5.0-145 (AM 0, 5.0MW) AT 
90M],MATCH(TBL_CalcDarwin[[#This Row],[Darwin Temp.
°C]],Curva_Temp[Temp]))</f>
        <v>5000</v>
      </c>
      <c r="AA57" s="41" cm="1">
        <f t="array" ref="AA57">INDEX(Curva_Temp[Temp],MATCH(TBL_CalcDarwin[[#This Row],[Darwin Temp.
°C]],Curva_Temp[Temp])+1)</f>
        <v>20</v>
      </c>
      <c r="AB57" s="41" cm="1">
        <f t="array" ref="AB57">INDEX(Curva_Temp[Warranted Power Curve for 
1.194Kg/m3 air density '[kW']
SG 5.0-145 (AM 0, 5.0MW) AT 
90M],MATCH(TBL_CalcDarwin[[#This Row],[Darwin Temp.
°C]],Curva_Temp[Temp])+1)</f>
        <v>5000</v>
      </c>
      <c r="AC57" s="45">
        <f>HLOOKUP(TBL_CalcDarwin[[#This Row],[Fecha]],'Plantilla AEG ES'!$E$1:$HX$13,2,FALSE)</f>
        <v>5</v>
      </c>
      <c r="AD57" s="45">
        <f>HLOOKUP(TBL_CalcDarwin[[#This Row],[Fecha]],'Plantilla AEG ES'!$E$1:$HX$13,3,FALSE)</f>
        <v>7</v>
      </c>
      <c r="AE57" s="45">
        <f>HLOOKUP(TBL_CalcDarwin[[#This Row],[Fecha]],'Plantilla AEG ES'!$E$1:$HX$13,4,FALSE)</f>
        <v>11</v>
      </c>
      <c r="AF57" s="45">
        <f>HLOOKUP(TBL_CalcDarwin[[#This Row],[Fecha]],'Plantilla AEG ES'!$E$1:$HX$13,5,FALSE)</f>
        <v>1</v>
      </c>
      <c r="AG57" s="45">
        <f>HLOOKUP(TBL_CalcDarwin[[#This Row],[Fecha]],'Plantilla AEG ES'!$E$1:$HX$13,6,FALSE)</f>
        <v>1</v>
      </c>
      <c r="AH57" s="45">
        <f>HLOOKUP(TBL_CalcDarwin[[#This Row],[Fecha]],'Plantilla AEG ES'!$E$1:$HX$13,7,FALSE)</f>
        <v>0</v>
      </c>
      <c r="AI57" s="46">
        <f>HLOOKUP(TBL_CalcDarwin[[#This Row],[Fecha]],'Plantilla AEG ES'!$E$1:$HX$13,8,FALSE)</f>
        <v>0</v>
      </c>
      <c r="AJ57" s="46">
        <f>HLOOKUP(TBL_CalcDarwin[[#This Row],[Fecha]],'Plantilla AEG ES'!$E$1:$HX$13,9,FALSE)</f>
        <v>3</v>
      </c>
      <c r="AK57" s="46">
        <f>HLOOKUP(TBL_CalcDarwin[[#This Row],[Fecha]],'Plantilla AEG ES'!$E$1:$HX$13,10,FALSE)</f>
        <v>12</v>
      </c>
      <c r="AL57" s="46">
        <f>HLOOKUP(TBL_CalcDarwin[[#This Row],[Fecha]],'Plantilla AEG ES'!$E$1:$HX$13,11,FALSE)</f>
        <v>1</v>
      </c>
      <c r="AM57" s="46">
        <f>HLOOKUP(TBL_CalcDarwin[[#This Row],[Fecha]],'Plantilla AEG ES'!$E$1:$HX$13,12,FALSE)</f>
        <v>7</v>
      </c>
      <c r="AN57" s="46">
        <f>HLOOKUP(TBL_CalcDarwin[[#This Row],[Fecha]],'Plantilla AEG ES'!$E$1:$HX$13,13,FALSE)</f>
        <v>1</v>
      </c>
      <c r="AO57" s="37">
        <f>TBL_CalcDarwin[[#This Row],[Lomitas - Barra A - 5.2 - Cerro]]+TBL_CalcDarwin[[#This Row],[Lomitas - Barra A - 5.2 - Medio]]+TBL_CalcDarwin[[#This Row],[Lomitas - Barra A - 5.2 - Mar]]</f>
        <v>23</v>
      </c>
      <c r="AP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57" s="37">
        <f>TBL_CalcDarwin[[#This Row],[Expansión - Barra A - 5.2 - Cerro]]+TBL_CalcDarwin[[#This Row],[Expansión - Barra A - 5.2 - Medio]]+TBL_CalcDarwin[[#This Row],[Expansión - Barra A - 5.2 - Mar]]</f>
        <v>2</v>
      </c>
      <c r="AT57" s="37">
        <f>TBL_CalcDarwin[[#This Row],[Expansión - Barra B - 5.2 - Cerro]]</f>
        <v>1</v>
      </c>
      <c r="AU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57" s="29">
        <f>TBL_CalcDarwin[[#This Row],[Expansión - Barra B - 5.2 - Cerro]]*TBL_CalcDarwin[[#This Row],[AEG 5.2 MW Cerro]]</f>
        <v>0.13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5">
        <f t="shared" si="0"/>
        <v>45586.333333333205</v>
      </c>
      <c r="C58" s="17">
        <f t="shared" si="5"/>
        <v>2.3333333333333335</v>
      </c>
      <c r="D58" s="34">
        <f>TBL_CalcDarwin[[#This Row],[Darwin PLOM
MW]]+TBL_CalcDarwin[[#This Row],[Darwin PLOME
MW]]</f>
        <v>28.465</v>
      </c>
      <c r="E58" s="34">
        <f>TBL_CalcDarwin[[#This Row],[PLOM MW TOTAL BARRA A]]+TBL_CalcDarwin[[#This Row],[PLOM MW TOTAL BARRA B]]</f>
        <v>27.594999999999999</v>
      </c>
      <c r="F58" s="34">
        <f>TBL_CalcDarwin[[#This Row],[PLOME MW TOTAL BARRA A]]+TBL_CalcDarwin[[#This Row],[PLOME MW TOTAL BARRA B]]</f>
        <v>0.87</v>
      </c>
      <c r="G58" s="48">
        <f>'Plantilla Datos'!D63</f>
        <v>3.9</v>
      </c>
      <c r="H58" s="48">
        <f>'Plantilla Datos'!E63</f>
        <v>5.2</v>
      </c>
      <c r="I58" s="49">
        <f>'Plantilla Datos'!F63</f>
        <v>17.3</v>
      </c>
      <c r="J58" s="47">
        <f>CEILING('Plantilla Datos'!$L$3*TBL_CalcDarwin[[#This Row],[Darwin Gusts
m/s]],0.5)</f>
        <v>4</v>
      </c>
      <c r="K58" s="47">
        <f>CEILING('Plantilla Datos'!$L$4*TBL_CalcDarwin[[#This Row],[Darwin Gusts
m/s]],0.5)</f>
        <v>4.5</v>
      </c>
      <c r="L58" s="47">
        <f>CEILING(TBL_CalcDarwin[[#This Row],[Darwin Gusts
m/s]],0.5)</f>
        <v>5.5</v>
      </c>
      <c r="M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58" s="41">
        <f>INDEX(Curva_Temp[Temp],MATCH(TBL_CalcDarwin[[#This Row],[Darwin Temp.
°C]],Curva_Temp[Temp]))</f>
        <v>15</v>
      </c>
      <c r="R58" s="41">
        <f>INDEX(Curva_Temp[Warranted Power Curve for 
1.194Kg/m3 air density '[kW']
SG 5.0-145 (AM+1, 5.2MW) AT 
90M],MATCH(TBL_CalcDarwin[[#This Row],[Darwin Temp.
°C]],Curva_Temp[Temp]))</f>
        <v>5200</v>
      </c>
      <c r="S58" s="41" cm="1">
        <f t="array" ref="S58">INDEX(Curva_Temp[Temp],MATCH(TBL_CalcDarwin[[#This Row],[Darwin Temp.
°C]],Curva_Temp[Temp])+1)</f>
        <v>20</v>
      </c>
      <c r="T58" s="41" cm="1">
        <f t="array" ref="T58">INDEX(Curva_Temp[Warranted Power Curve for 
1.194Kg/m3 air density '[kW']
SG 5.0-145 (AM+1, 5.2MW) AT 
90M],MATCH(TBL_CalcDarwin[[#This Row],[Darwin Temp.
°C]],Curva_Temp[Temp])+1)</f>
        <v>5000</v>
      </c>
      <c r="U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58" s="41">
        <f>INDEX(Curva_Temp[Temp],MATCH(TBL_CalcDarwin[[#This Row],[Darwin Temp.
°C]],Curva_Temp[Temp]))</f>
        <v>15</v>
      </c>
      <c r="Z58" s="41">
        <f>INDEX(Curva_Temp[Warranted Power Curve for 
1.194Kg/m3 air density '[kW']
SG 5.0-145 (AM 0, 5.0MW) AT 
90M],MATCH(TBL_CalcDarwin[[#This Row],[Darwin Temp.
°C]],Curva_Temp[Temp]))</f>
        <v>5000</v>
      </c>
      <c r="AA58" s="41" cm="1">
        <f t="array" ref="AA58">INDEX(Curva_Temp[Temp],MATCH(TBL_CalcDarwin[[#This Row],[Darwin Temp.
°C]],Curva_Temp[Temp])+1)</f>
        <v>20</v>
      </c>
      <c r="AB58" s="41" cm="1">
        <f t="array" ref="AB58">INDEX(Curva_Temp[Warranted Power Curve for 
1.194Kg/m3 air density '[kW']
SG 5.0-145 (AM 0, 5.0MW) AT 
90M],MATCH(TBL_CalcDarwin[[#This Row],[Darwin Temp.
°C]],Curva_Temp[Temp])+1)</f>
        <v>5000</v>
      </c>
      <c r="AC58" s="45">
        <f>HLOOKUP(TBL_CalcDarwin[[#This Row],[Fecha]],'Plantilla AEG ES'!$E$1:$HX$13,2,FALSE)</f>
        <v>5</v>
      </c>
      <c r="AD58" s="45">
        <f>HLOOKUP(TBL_CalcDarwin[[#This Row],[Fecha]],'Plantilla AEG ES'!$E$1:$HX$13,3,FALSE)</f>
        <v>7</v>
      </c>
      <c r="AE58" s="45">
        <f>HLOOKUP(TBL_CalcDarwin[[#This Row],[Fecha]],'Plantilla AEG ES'!$E$1:$HX$13,4,FALSE)</f>
        <v>11</v>
      </c>
      <c r="AF58" s="45">
        <f>HLOOKUP(TBL_CalcDarwin[[#This Row],[Fecha]],'Plantilla AEG ES'!$E$1:$HX$13,5,FALSE)</f>
        <v>1</v>
      </c>
      <c r="AG58" s="45">
        <f>HLOOKUP(TBL_CalcDarwin[[#This Row],[Fecha]],'Plantilla AEG ES'!$E$1:$HX$13,6,FALSE)</f>
        <v>1</v>
      </c>
      <c r="AH58" s="45">
        <f>HLOOKUP(TBL_CalcDarwin[[#This Row],[Fecha]],'Plantilla AEG ES'!$E$1:$HX$13,7,FALSE)</f>
        <v>0</v>
      </c>
      <c r="AI58" s="46">
        <f>HLOOKUP(TBL_CalcDarwin[[#This Row],[Fecha]],'Plantilla AEG ES'!$E$1:$HX$13,8,FALSE)</f>
        <v>0</v>
      </c>
      <c r="AJ58" s="46">
        <f>HLOOKUP(TBL_CalcDarwin[[#This Row],[Fecha]],'Plantilla AEG ES'!$E$1:$HX$13,9,FALSE)</f>
        <v>3</v>
      </c>
      <c r="AK58" s="46">
        <f>HLOOKUP(TBL_CalcDarwin[[#This Row],[Fecha]],'Plantilla AEG ES'!$E$1:$HX$13,10,FALSE)</f>
        <v>12</v>
      </c>
      <c r="AL58" s="46">
        <f>HLOOKUP(TBL_CalcDarwin[[#This Row],[Fecha]],'Plantilla AEG ES'!$E$1:$HX$13,11,FALSE)</f>
        <v>1</v>
      </c>
      <c r="AM58" s="46">
        <f>HLOOKUP(TBL_CalcDarwin[[#This Row],[Fecha]],'Plantilla AEG ES'!$E$1:$HX$13,12,FALSE)</f>
        <v>7</v>
      </c>
      <c r="AN58" s="46">
        <f>HLOOKUP(TBL_CalcDarwin[[#This Row],[Fecha]],'Plantilla AEG ES'!$E$1:$HX$13,13,FALSE)</f>
        <v>1</v>
      </c>
      <c r="AO58" s="37">
        <f>TBL_CalcDarwin[[#This Row],[Lomitas - Barra A - 5.2 - Cerro]]+TBL_CalcDarwin[[#This Row],[Lomitas - Barra A - 5.2 - Medio]]+TBL_CalcDarwin[[#This Row],[Lomitas - Barra A - 5.2 - Mar]]</f>
        <v>23</v>
      </c>
      <c r="AP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58" s="37">
        <f>TBL_CalcDarwin[[#This Row],[Expansión - Barra A - 5.2 - Cerro]]+TBL_CalcDarwin[[#This Row],[Expansión - Barra A - 5.2 - Medio]]+TBL_CalcDarwin[[#This Row],[Expansión - Barra A - 5.2 - Mar]]</f>
        <v>2</v>
      </c>
      <c r="AT58" s="37">
        <f>TBL_CalcDarwin[[#This Row],[Expansión - Barra B - 5.2 - Cerro]]</f>
        <v>1</v>
      </c>
      <c r="AU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58" s="29">
        <f>TBL_CalcDarwin[[#This Row],[Expansión - Barra B - 5.2 - Cerro]]*TBL_CalcDarwin[[#This Row],[AEG 5.2 MW Cerro]]</f>
        <v>0.24399999999999999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5">
        <f t="shared" si="0"/>
        <v>45586.374999999869</v>
      </c>
      <c r="C59" s="17">
        <f t="shared" si="5"/>
        <v>2.375</v>
      </c>
      <c r="D59" s="34">
        <f>TBL_CalcDarwin[[#This Row],[Darwin PLOM
MW]]+TBL_CalcDarwin[[#This Row],[Darwin PLOME
MW]]</f>
        <v>49.213000000000001</v>
      </c>
      <c r="E59" s="34">
        <f>TBL_CalcDarwin[[#This Row],[PLOM MW TOTAL BARRA A]]+TBL_CalcDarwin[[#This Row],[PLOM MW TOTAL BARRA B]]</f>
        <v>47.704000000000001</v>
      </c>
      <c r="F59" s="34">
        <f>TBL_CalcDarwin[[#This Row],[PLOME MW TOTAL BARRA A]]+TBL_CalcDarwin[[#This Row],[PLOME MW TOTAL BARRA B]]</f>
        <v>1.5089999999999999</v>
      </c>
      <c r="G59" s="48">
        <f>'Plantilla Datos'!D64</f>
        <v>4.7</v>
      </c>
      <c r="H59" s="48">
        <f>'Plantilla Datos'!E64</f>
        <v>6.1</v>
      </c>
      <c r="I59" s="49">
        <f>'Plantilla Datos'!F64</f>
        <v>18.100000000000001</v>
      </c>
      <c r="J59" s="47">
        <f>CEILING('Plantilla Datos'!$L$3*TBL_CalcDarwin[[#This Row],[Darwin Gusts
m/s]],0.5)</f>
        <v>4.5</v>
      </c>
      <c r="K59" s="47">
        <f>CEILING('Plantilla Datos'!$L$4*TBL_CalcDarwin[[#This Row],[Darwin Gusts
m/s]],0.5)</f>
        <v>5.5</v>
      </c>
      <c r="L59" s="47">
        <f>CEILING(TBL_CalcDarwin[[#This Row],[Darwin Gusts
m/s]],0.5)</f>
        <v>6.5</v>
      </c>
      <c r="M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59" s="41">
        <f>INDEX(Curva_Temp[Temp],MATCH(TBL_CalcDarwin[[#This Row],[Darwin Temp.
°C]],Curva_Temp[Temp]))</f>
        <v>15</v>
      </c>
      <c r="R59" s="41">
        <f>INDEX(Curva_Temp[Warranted Power Curve for 
1.194Kg/m3 air density '[kW']
SG 5.0-145 (AM+1, 5.2MW) AT 
90M],MATCH(TBL_CalcDarwin[[#This Row],[Darwin Temp.
°C]],Curva_Temp[Temp]))</f>
        <v>5200</v>
      </c>
      <c r="S59" s="41" cm="1">
        <f t="array" ref="S59">INDEX(Curva_Temp[Temp],MATCH(TBL_CalcDarwin[[#This Row],[Darwin Temp.
°C]],Curva_Temp[Temp])+1)</f>
        <v>20</v>
      </c>
      <c r="T59" s="41" cm="1">
        <f t="array" ref="T59">INDEX(Curva_Temp[Warranted Power Curve for 
1.194Kg/m3 air density '[kW']
SG 5.0-145 (AM+1, 5.2MW) AT 
90M],MATCH(TBL_CalcDarwin[[#This Row],[Darwin Temp.
°C]],Curva_Temp[Temp])+1)</f>
        <v>5000</v>
      </c>
      <c r="U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59" s="41">
        <f>INDEX(Curva_Temp[Temp],MATCH(TBL_CalcDarwin[[#This Row],[Darwin Temp.
°C]],Curva_Temp[Temp]))</f>
        <v>15</v>
      </c>
      <c r="Z59" s="41">
        <f>INDEX(Curva_Temp[Warranted Power Curve for 
1.194Kg/m3 air density '[kW']
SG 5.0-145 (AM 0, 5.0MW) AT 
90M],MATCH(TBL_CalcDarwin[[#This Row],[Darwin Temp.
°C]],Curva_Temp[Temp]))</f>
        <v>5000</v>
      </c>
      <c r="AA59" s="41" cm="1">
        <f t="array" ref="AA59">INDEX(Curva_Temp[Temp],MATCH(TBL_CalcDarwin[[#This Row],[Darwin Temp.
°C]],Curva_Temp[Temp])+1)</f>
        <v>20</v>
      </c>
      <c r="AB59" s="41" cm="1">
        <f t="array" ref="AB59">INDEX(Curva_Temp[Warranted Power Curve for 
1.194Kg/m3 air density '[kW']
SG 5.0-145 (AM 0, 5.0MW) AT 
90M],MATCH(TBL_CalcDarwin[[#This Row],[Darwin Temp.
°C]],Curva_Temp[Temp])+1)</f>
        <v>5000</v>
      </c>
      <c r="AC59" s="45">
        <f>HLOOKUP(TBL_CalcDarwin[[#This Row],[Fecha]],'Plantilla AEG ES'!$E$1:$HX$13,2,FALSE)</f>
        <v>5</v>
      </c>
      <c r="AD59" s="45">
        <f>HLOOKUP(TBL_CalcDarwin[[#This Row],[Fecha]],'Plantilla AEG ES'!$E$1:$HX$13,3,FALSE)</f>
        <v>7</v>
      </c>
      <c r="AE59" s="45">
        <f>HLOOKUP(TBL_CalcDarwin[[#This Row],[Fecha]],'Plantilla AEG ES'!$E$1:$HX$13,4,FALSE)</f>
        <v>11</v>
      </c>
      <c r="AF59" s="45">
        <f>HLOOKUP(TBL_CalcDarwin[[#This Row],[Fecha]],'Plantilla AEG ES'!$E$1:$HX$13,5,FALSE)</f>
        <v>1</v>
      </c>
      <c r="AG59" s="45">
        <f>HLOOKUP(TBL_CalcDarwin[[#This Row],[Fecha]],'Plantilla AEG ES'!$E$1:$HX$13,6,FALSE)</f>
        <v>1</v>
      </c>
      <c r="AH59" s="45">
        <f>HLOOKUP(TBL_CalcDarwin[[#This Row],[Fecha]],'Plantilla AEG ES'!$E$1:$HX$13,7,FALSE)</f>
        <v>0</v>
      </c>
      <c r="AI59" s="46">
        <f>HLOOKUP(TBL_CalcDarwin[[#This Row],[Fecha]],'Plantilla AEG ES'!$E$1:$HX$13,8,FALSE)</f>
        <v>0</v>
      </c>
      <c r="AJ59" s="46">
        <f>HLOOKUP(TBL_CalcDarwin[[#This Row],[Fecha]],'Plantilla AEG ES'!$E$1:$HX$13,9,FALSE)</f>
        <v>3</v>
      </c>
      <c r="AK59" s="46">
        <f>HLOOKUP(TBL_CalcDarwin[[#This Row],[Fecha]],'Plantilla AEG ES'!$E$1:$HX$13,10,FALSE)</f>
        <v>12</v>
      </c>
      <c r="AL59" s="46">
        <f>HLOOKUP(TBL_CalcDarwin[[#This Row],[Fecha]],'Plantilla AEG ES'!$E$1:$HX$13,11,FALSE)</f>
        <v>1</v>
      </c>
      <c r="AM59" s="46">
        <f>HLOOKUP(TBL_CalcDarwin[[#This Row],[Fecha]],'Plantilla AEG ES'!$E$1:$HX$13,12,FALSE)</f>
        <v>7</v>
      </c>
      <c r="AN59" s="46">
        <f>HLOOKUP(TBL_CalcDarwin[[#This Row],[Fecha]],'Plantilla AEG ES'!$E$1:$HX$13,13,FALSE)</f>
        <v>1</v>
      </c>
      <c r="AO59" s="37">
        <f>TBL_CalcDarwin[[#This Row],[Lomitas - Barra A - 5.2 - Cerro]]+TBL_CalcDarwin[[#This Row],[Lomitas - Barra A - 5.2 - Medio]]+TBL_CalcDarwin[[#This Row],[Lomitas - Barra A - 5.2 - Mar]]</f>
        <v>23</v>
      </c>
      <c r="AP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59" s="37">
        <f>TBL_CalcDarwin[[#This Row],[Expansión - Barra A - 5.2 - Cerro]]+TBL_CalcDarwin[[#This Row],[Expansión - Barra A - 5.2 - Medio]]+TBL_CalcDarwin[[#This Row],[Expansión - Barra A - 5.2 - Mar]]</f>
        <v>2</v>
      </c>
      <c r="AT59" s="37">
        <f>TBL_CalcDarwin[[#This Row],[Expansión - Barra B - 5.2 - Cerro]]</f>
        <v>1</v>
      </c>
      <c r="AU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59" s="29">
        <f>TBL_CalcDarwin[[#This Row],[Expansión - Barra B - 5.2 - Cerro]]*TBL_CalcDarwin[[#This Row],[AEG 5.2 MW Cerro]]</f>
        <v>0.38200000000000001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5">
        <f t="shared" si="0"/>
        <v>45586.416666666533</v>
      </c>
      <c r="C60" s="17">
        <f t="shared" si="5"/>
        <v>2.4166666666666665</v>
      </c>
      <c r="D60" s="34">
        <f>TBL_CalcDarwin[[#This Row],[Darwin PLOM
MW]]+TBL_CalcDarwin[[#This Row],[Darwin PLOME
MW]]</f>
        <v>79.186999999999998</v>
      </c>
      <c r="E60" s="34">
        <f>TBL_CalcDarwin[[#This Row],[PLOM MW TOTAL BARRA A]]+TBL_CalcDarwin[[#This Row],[PLOM MW TOTAL BARRA B]]</f>
        <v>76.430999999999997</v>
      </c>
      <c r="F60" s="34">
        <f>TBL_CalcDarwin[[#This Row],[PLOME MW TOTAL BARRA A]]+TBL_CalcDarwin[[#This Row],[PLOME MW TOTAL BARRA B]]</f>
        <v>2.7560000000000002</v>
      </c>
      <c r="G60" s="48">
        <f>'Plantilla Datos'!D65</f>
        <v>5.5</v>
      </c>
      <c r="H60" s="48">
        <f>'Plantilla Datos'!E65</f>
        <v>7.1</v>
      </c>
      <c r="I60" s="49">
        <f>'Plantilla Datos'!F65</f>
        <v>18.899999999999999</v>
      </c>
      <c r="J60" s="47">
        <f>CEILING('Plantilla Datos'!$L$3*TBL_CalcDarwin[[#This Row],[Darwin Gusts
m/s]],0.5)</f>
        <v>5.5</v>
      </c>
      <c r="K60" s="47">
        <f>CEILING('Plantilla Datos'!$L$4*TBL_CalcDarwin[[#This Row],[Darwin Gusts
m/s]],0.5)</f>
        <v>6.5</v>
      </c>
      <c r="L60" s="47">
        <f>CEILING(TBL_CalcDarwin[[#This Row],[Darwin Gusts
m/s]],0.5)</f>
        <v>7.5</v>
      </c>
      <c r="M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60" s="41">
        <f>INDEX(Curva_Temp[Temp],MATCH(TBL_CalcDarwin[[#This Row],[Darwin Temp.
°C]],Curva_Temp[Temp]))</f>
        <v>15</v>
      </c>
      <c r="R60" s="41">
        <f>INDEX(Curva_Temp[Warranted Power Curve for 
1.194Kg/m3 air density '[kW']
SG 5.0-145 (AM+1, 5.2MW) AT 
90M],MATCH(TBL_CalcDarwin[[#This Row],[Darwin Temp.
°C]],Curva_Temp[Temp]))</f>
        <v>5200</v>
      </c>
      <c r="S60" s="41" cm="1">
        <f t="array" ref="S60">INDEX(Curva_Temp[Temp],MATCH(TBL_CalcDarwin[[#This Row],[Darwin Temp.
°C]],Curva_Temp[Temp])+1)</f>
        <v>20</v>
      </c>
      <c r="T60" s="41" cm="1">
        <f t="array" ref="T60">INDEX(Curva_Temp[Warranted Power Curve for 
1.194Kg/m3 air density '[kW']
SG 5.0-145 (AM+1, 5.2MW) AT 
90M],MATCH(TBL_CalcDarwin[[#This Row],[Darwin Temp.
°C]],Curva_Temp[Temp])+1)</f>
        <v>5000</v>
      </c>
      <c r="U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60" s="41">
        <f>INDEX(Curva_Temp[Temp],MATCH(TBL_CalcDarwin[[#This Row],[Darwin Temp.
°C]],Curva_Temp[Temp]))</f>
        <v>15</v>
      </c>
      <c r="Z60" s="41">
        <f>INDEX(Curva_Temp[Warranted Power Curve for 
1.194Kg/m3 air density '[kW']
SG 5.0-145 (AM 0, 5.0MW) AT 
90M],MATCH(TBL_CalcDarwin[[#This Row],[Darwin Temp.
°C]],Curva_Temp[Temp]))</f>
        <v>5000</v>
      </c>
      <c r="AA60" s="41" cm="1">
        <f t="array" ref="AA60">INDEX(Curva_Temp[Temp],MATCH(TBL_CalcDarwin[[#This Row],[Darwin Temp.
°C]],Curva_Temp[Temp])+1)</f>
        <v>20</v>
      </c>
      <c r="AB60" s="41" cm="1">
        <f t="array" ref="AB60">INDEX(Curva_Temp[Warranted Power Curve for 
1.194Kg/m3 air density '[kW']
SG 5.0-145 (AM 0, 5.0MW) AT 
90M],MATCH(TBL_CalcDarwin[[#This Row],[Darwin Temp.
°C]],Curva_Temp[Temp])+1)</f>
        <v>5000</v>
      </c>
      <c r="AC60" s="45">
        <f>HLOOKUP(TBL_CalcDarwin[[#This Row],[Fecha]],'Plantilla AEG ES'!$E$1:$HX$13,2,FALSE)</f>
        <v>5</v>
      </c>
      <c r="AD60" s="45">
        <f>HLOOKUP(TBL_CalcDarwin[[#This Row],[Fecha]],'Plantilla AEG ES'!$E$1:$HX$13,3,FALSE)</f>
        <v>7</v>
      </c>
      <c r="AE60" s="45">
        <f>HLOOKUP(TBL_CalcDarwin[[#This Row],[Fecha]],'Plantilla AEG ES'!$E$1:$HX$13,4,FALSE)</f>
        <v>11</v>
      </c>
      <c r="AF60" s="45">
        <f>HLOOKUP(TBL_CalcDarwin[[#This Row],[Fecha]],'Plantilla AEG ES'!$E$1:$HX$13,5,FALSE)</f>
        <v>1</v>
      </c>
      <c r="AG60" s="45">
        <f>HLOOKUP(TBL_CalcDarwin[[#This Row],[Fecha]],'Plantilla AEG ES'!$E$1:$HX$13,6,FALSE)</f>
        <v>1</v>
      </c>
      <c r="AH60" s="45">
        <f>HLOOKUP(TBL_CalcDarwin[[#This Row],[Fecha]],'Plantilla AEG ES'!$E$1:$HX$13,7,FALSE)</f>
        <v>0</v>
      </c>
      <c r="AI60" s="46">
        <f>HLOOKUP(TBL_CalcDarwin[[#This Row],[Fecha]],'Plantilla AEG ES'!$E$1:$HX$13,8,FALSE)</f>
        <v>0</v>
      </c>
      <c r="AJ60" s="46">
        <f>HLOOKUP(TBL_CalcDarwin[[#This Row],[Fecha]],'Plantilla AEG ES'!$E$1:$HX$13,9,FALSE)</f>
        <v>3</v>
      </c>
      <c r="AK60" s="46">
        <f>HLOOKUP(TBL_CalcDarwin[[#This Row],[Fecha]],'Plantilla AEG ES'!$E$1:$HX$13,10,FALSE)</f>
        <v>12</v>
      </c>
      <c r="AL60" s="46">
        <f>HLOOKUP(TBL_CalcDarwin[[#This Row],[Fecha]],'Plantilla AEG ES'!$E$1:$HX$13,11,FALSE)</f>
        <v>1</v>
      </c>
      <c r="AM60" s="46">
        <f>HLOOKUP(TBL_CalcDarwin[[#This Row],[Fecha]],'Plantilla AEG ES'!$E$1:$HX$13,12,FALSE)</f>
        <v>7</v>
      </c>
      <c r="AN60" s="46">
        <f>HLOOKUP(TBL_CalcDarwin[[#This Row],[Fecha]],'Plantilla AEG ES'!$E$1:$HX$13,13,FALSE)</f>
        <v>1</v>
      </c>
      <c r="AO60" s="37">
        <f>TBL_CalcDarwin[[#This Row],[Lomitas - Barra A - 5.2 - Cerro]]+TBL_CalcDarwin[[#This Row],[Lomitas - Barra A - 5.2 - Medio]]+TBL_CalcDarwin[[#This Row],[Lomitas - Barra A - 5.2 - Mar]]</f>
        <v>23</v>
      </c>
      <c r="AP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60" s="37">
        <f>TBL_CalcDarwin[[#This Row],[Expansión - Barra A - 5.2 - Cerro]]+TBL_CalcDarwin[[#This Row],[Expansión - Barra A - 5.2 - Medio]]+TBL_CalcDarwin[[#This Row],[Expansión - Barra A - 5.2 - Mar]]</f>
        <v>2</v>
      </c>
      <c r="AT60" s="37">
        <f>TBL_CalcDarwin[[#This Row],[Expansión - Barra B - 5.2 - Cerro]]</f>
        <v>1</v>
      </c>
      <c r="AU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60" s="29">
        <f>TBL_CalcDarwin[[#This Row],[Expansión - Barra B - 5.2 - Cerro]]*TBL_CalcDarwin[[#This Row],[AEG 5.2 MW Cerro]]</f>
        <v>0.745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5">
        <f t="shared" si="0"/>
        <v>45586.458333333198</v>
      </c>
      <c r="C61" s="17">
        <f t="shared" si="5"/>
        <v>2.458333333333333</v>
      </c>
      <c r="D61" s="34">
        <f>TBL_CalcDarwin[[#This Row],[Darwin PLOM
MW]]+TBL_CalcDarwin[[#This Row],[Darwin PLOME
MW]]</f>
        <v>101.629</v>
      </c>
      <c r="E61" s="34">
        <f>TBL_CalcDarwin[[#This Row],[PLOM MW TOTAL BARRA A]]+TBL_CalcDarwin[[#This Row],[PLOM MW TOTAL BARRA B]]</f>
        <v>98.066000000000003</v>
      </c>
      <c r="F61" s="34">
        <f>TBL_CalcDarwin[[#This Row],[PLOME MW TOTAL BARRA A]]+TBL_CalcDarwin[[#This Row],[PLOME MW TOTAL BARRA B]]</f>
        <v>3.5630000000000002</v>
      </c>
      <c r="G61" s="48">
        <f>'Plantilla Datos'!D66</f>
        <v>6.1</v>
      </c>
      <c r="H61" s="48">
        <f>'Plantilla Datos'!E66</f>
        <v>7.7</v>
      </c>
      <c r="I61" s="49">
        <f>'Plantilla Datos'!F66</f>
        <v>19</v>
      </c>
      <c r="J61" s="47">
        <f>CEILING('Plantilla Datos'!$L$3*TBL_CalcDarwin[[#This Row],[Darwin Gusts
m/s]],0.5)</f>
        <v>6</v>
      </c>
      <c r="K61" s="47">
        <f>CEILING('Plantilla Datos'!$L$4*TBL_CalcDarwin[[#This Row],[Darwin Gusts
m/s]],0.5)</f>
        <v>7</v>
      </c>
      <c r="L61" s="47">
        <f>CEILING(TBL_CalcDarwin[[#This Row],[Darwin Gusts
m/s]],0.5)</f>
        <v>8</v>
      </c>
      <c r="M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61" s="41">
        <f>INDEX(Curva_Temp[Temp],MATCH(TBL_CalcDarwin[[#This Row],[Darwin Temp.
°C]],Curva_Temp[Temp]))</f>
        <v>15</v>
      </c>
      <c r="R61" s="41">
        <f>INDEX(Curva_Temp[Warranted Power Curve for 
1.194Kg/m3 air density '[kW']
SG 5.0-145 (AM+1, 5.2MW) AT 
90M],MATCH(TBL_CalcDarwin[[#This Row],[Darwin Temp.
°C]],Curva_Temp[Temp]))</f>
        <v>5200</v>
      </c>
      <c r="S61" s="41" cm="1">
        <f t="array" ref="S61">INDEX(Curva_Temp[Temp],MATCH(TBL_CalcDarwin[[#This Row],[Darwin Temp.
°C]],Curva_Temp[Temp])+1)</f>
        <v>20</v>
      </c>
      <c r="T61" s="41" cm="1">
        <f t="array" ref="T61">INDEX(Curva_Temp[Warranted Power Curve for 
1.194Kg/m3 air density '[kW']
SG 5.0-145 (AM+1, 5.2MW) AT 
90M],MATCH(TBL_CalcDarwin[[#This Row],[Darwin Temp.
°C]],Curva_Temp[Temp])+1)</f>
        <v>5000</v>
      </c>
      <c r="U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61" s="41">
        <f>INDEX(Curva_Temp[Temp],MATCH(TBL_CalcDarwin[[#This Row],[Darwin Temp.
°C]],Curva_Temp[Temp]))</f>
        <v>15</v>
      </c>
      <c r="Z61" s="41">
        <f>INDEX(Curva_Temp[Warranted Power Curve for 
1.194Kg/m3 air density '[kW']
SG 5.0-145 (AM 0, 5.0MW) AT 
90M],MATCH(TBL_CalcDarwin[[#This Row],[Darwin Temp.
°C]],Curva_Temp[Temp]))</f>
        <v>5000</v>
      </c>
      <c r="AA61" s="41" cm="1">
        <f t="array" ref="AA61">INDEX(Curva_Temp[Temp],MATCH(TBL_CalcDarwin[[#This Row],[Darwin Temp.
°C]],Curva_Temp[Temp])+1)</f>
        <v>20</v>
      </c>
      <c r="AB61" s="41" cm="1">
        <f t="array" ref="AB61">INDEX(Curva_Temp[Warranted Power Curve for 
1.194Kg/m3 air density '[kW']
SG 5.0-145 (AM 0, 5.0MW) AT 
90M],MATCH(TBL_CalcDarwin[[#This Row],[Darwin Temp.
°C]],Curva_Temp[Temp])+1)</f>
        <v>5000</v>
      </c>
      <c r="AC61" s="45">
        <f>HLOOKUP(TBL_CalcDarwin[[#This Row],[Fecha]],'Plantilla AEG ES'!$E$1:$HX$13,2,FALSE)</f>
        <v>5</v>
      </c>
      <c r="AD61" s="45">
        <f>HLOOKUP(TBL_CalcDarwin[[#This Row],[Fecha]],'Plantilla AEG ES'!$E$1:$HX$13,3,FALSE)</f>
        <v>8</v>
      </c>
      <c r="AE61" s="45">
        <f>HLOOKUP(TBL_CalcDarwin[[#This Row],[Fecha]],'Plantilla AEG ES'!$E$1:$HX$13,4,FALSE)</f>
        <v>12</v>
      </c>
      <c r="AF61" s="45">
        <f>HLOOKUP(TBL_CalcDarwin[[#This Row],[Fecha]],'Plantilla AEG ES'!$E$1:$HX$13,5,FALSE)</f>
        <v>1</v>
      </c>
      <c r="AG61" s="45">
        <f>HLOOKUP(TBL_CalcDarwin[[#This Row],[Fecha]],'Plantilla AEG ES'!$E$1:$HX$13,6,FALSE)</f>
        <v>1</v>
      </c>
      <c r="AH61" s="45">
        <f>HLOOKUP(TBL_CalcDarwin[[#This Row],[Fecha]],'Plantilla AEG ES'!$E$1:$HX$13,7,FALSE)</f>
        <v>0</v>
      </c>
      <c r="AI61" s="46">
        <f>HLOOKUP(TBL_CalcDarwin[[#This Row],[Fecha]],'Plantilla AEG ES'!$E$1:$HX$13,8,FALSE)</f>
        <v>0</v>
      </c>
      <c r="AJ61" s="46">
        <f>HLOOKUP(TBL_CalcDarwin[[#This Row],[Fecha]],'Plantilla AEG ES'!$E$1:$HX$13,9,FALSE)</f>
        <v>3</v>
      </c>
      <c r="AK61" s="46">
        <f>HLOOKUP(TBL_CalcDarwin[[#This Row],[Fecha]],'Plantilla AEG ES'!$E$1:$HX$13,10,FALSE)</f>
        <v>12</v>
      </c>
      <c r="AL61" s="46">
        <f>HLOOKUP(TBL_CalcDarwin[[#This Row],[Fecha]],'Plantilla AEG ES'!$E$1:$HX$13,11,FALSE)</f>
        <v>1</v>
      </c>
      <c r="AM61" s="46">
        <f>HLOOKUP(TBL_CalcDarwin[[#This Row],[Fecha]],'Plantilla AEG ES'!$E$1:$HX$13,12,FALSE)</f>
        <v>7</v>
      </c>
      <c r="AN61" s="46">
        <f>HLOOKUP(TBL_CalcDarwin[[#This Row],[Fecha]],'Plantilla AEG ES'!$E$1:$HX$13,13,FALSE)</f>
        <v>1</v>
      </c>
      <c r="AO61" s="37">
        <f>TBL_CalcDarwin[[#This Row],[Lomitas - Barra A - 5.2 - Cerro]]+TBL_CalcDarwin[[#This Row],[Lomitas - Barra A - 5.2 - Medio]]+TBL_CalcDarwin[[#This Row],[Lomitas - Barra A - 5.2 - Mar]]</f>
        <v>25</v>
      </c>
      <c r="AP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61" s="37">
        <f>TBL_CalcDarwin[[#This Row],[Expansión - Barra A - 5.2 - Cerro]]+TBL_CalcDarwin[[#This Row],[Expansión - Barra A - 5.2 - Medio]]+TBL_CalcDarwin[[#This Row],[Expansión - Barra A - 5.2 - Mar]]</f>
        <v>2</v>
      </c>
      <c r="AT61" s="37">
        <f>TBL_CalcDarwin[[#This Row],[Expansión - Barra B - 5.2 - Cerro]]</f>
        <v>1</v>
      </c>
      <c r="AU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61" s="29">
        <f>TBL_CalcDarwin[[#This Row],[Expansión - Barra B - 5.2 - Cerro]]*TBL_CalcDarwin[[#This Row],[AEG 5.2 MW Cerro]]</f>
        <v>0.98299999999999998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5">
        <f t="shared" si="0"/>
        <v>45586.499999999862</v>
      </c>
      <c r="C62" s="17">
        <f t="shared" si="5"/>
        <v>2.4999999999999996</v>
      </c>
      <c r="D62" s="34">
        <f>TBL_CalcDarwin[[#This Row],[Darwin PLOM
MW]]+TBL_CalcDarwin[[#This Row],[Darwin PLOME
MW]]</f>
        <v>122.94799999999999</v>
      </c>
      <c r="E62" s="34">
        <f>TBL_CalcDarwin[[#This Row],[PLOM MW TOTAL BARRA A]]+TBL_CalcDarwin[[#This Row],[PLOM MW TOTAL BARRA B]]</f>
        <v>118.43799999999999</v>
      </c>
      <c r="F62" s="34">
        <f>TBL_CalcDarwin[[#This Row],[PLOME MW TOTAL BARRA A]]+TBL_CalcDarwin[[#This Row],[PLOME MW TOTAL BARRA B]]</f>
        <v>4.51</v>
      </c>
      <c r="G62" s="48">
        <f>'Plantilla Datos'!D67</f>
        <v>6.7</v>
      </c>
      <c r="H62" s="48">
        <f>'Plantilla Datos'!E67</f>
        <v>8.4</v>
      </c>
      <c r="I62" s="49">
        <f>'Plantilla Datos'!F67</f>
        <v>19.100000000000001</v>
      </c>
      <c r="J62" s="47">
        <f>CEILING('Plantilla Datos'!$L$3*TBL_CalcDarwin[[#This Row],[Darwin Gusts
m/s]],0.5)</f>
        <v>6.5</v>
      </c>
      <c r="K62" s="47">
        <f>CEILING('Plantilla Datos'!$L$4*TBL_CalcDarwin[[#This Row],[Darwin Gusts
m/s]],0.5)</f>
        <v>7.5</v>
      </c>
      <c r="L62" s="47">
        <f>CEILING(TBL_CalcDarwin[[#This Row],[Darwin Gusts
m/s]],0.5)</f>
        <v>8.5</v>
      </c>
      <c r="M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62" s="41">
        <f>INDEX(Curva_Temp[Temp],MATCH(TBL_CalcDarwin[[#This Row],[Darwin Temp.
°C]],Curva_Temp[Temp]))</f>
        <v>15</v>
      </c>
      <c r="R62" s="41">
        <f>INDEX(Curva_Temp[Warranted Power Curve for 
1.194Kg/m3 air density '[kW']
SG 5.0-145 (AM+1, 5.2MW) AT 
90M],MATCH(TBL_CalcDarwin[[#This Row],[Darwin Temp.
°C]],Curva_Temp[Temp]))</f>
        <v>5200</v>
      </c>
      <c r="S62" s="41" cm="1">
        <f t="array" ref="S62">INDEX(Curva_Temp[Temp],MATCH(TBL_CalcDarwin[[#This Row],[Darwin Temp.
°C]],Curva_Temp[Temp])+1)</f>
        <v>20</v>
      </c>
      <c r="T62" s="41" cm="1">
        <f t="array" ref="T62">INDEX(Curva_Temp[Warranted Power Curve for 
1.194Kg/m3 air density '[kW']
SG 5.0-145 (AM+1, 5.2MW) AT 
90M],MATCH(TBL_CalcDarwin[[#This Row],[Darwin Temp.
°C]],Curva_Temp[Temp])+1)</f>
        <v>5000</v>
      </c>
      <c r="U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62" s="41">
        <f>INDEX(Curva_Temp[Temp],MATCH(TBL_CalcDarwin[[#This Row],[Darwin Temp.
°C]],Curva_Temp[Temp]))</f>
        <v>15</v>
      </c>
      <c r="Z62" s="41">
        <f>INDEX(Curva_Temp[Warranted Power Curve for 
1.194Kg/m3 air density '[kW']
SG 5.0-145 (AM 0, 5.0MW) AT 
90M],MATCH(TBL_CalcDarwin[[#This Row],[Darwin Temp.
°C]],Curva_Temp[Temp]))</f>
        <v>5000</v>
      </c>
      <c r="AA62" s="41" cm="1">
        <f t="array" ref="AA62">INDEX(Curva_Temp[Temp],MATCH(TBL_CalcDarwin[[#This Row],[Darwin Temp.
°C]],Curva_Temp[Temp])+1)</f>
        <v>20</v>
      </c>
      <c r="AB62" s="41" cm="1">
        <f t="array" ref="AB62">INDEX(Curva_Temp[Warranted Power Curve for 
1.194Kg/m3 air density '[kW']
SG 5.0-145 (AM 0, 5.0MW) AT 
90M],MATCH(TBL_CalcDarwin[[#This Row],[Darwin Temp.
°C]],Curva_Temp[Temp])+1)</f>
        <v>5000</v>
      </c>
      <c r="AC62" s="45">
        <f>HLOOKUP(TBL_CalcDarwin[[#This Row],[Fecha]],'Plantilla AEG ES'!$E$1:$HX$13,2,FALSE)</f>
        <v>5</v>
      </c>
      <c r="AD62" s="45">
        <f>HLOOKUP(TBL_CalcDarwin[[#This Row],[Fecha]],'Plantilla AEG ES'!$E$1:$HX$13,3,FALSE)</f>
        <v>8</v>
      </c>
      <c r="AE62" s="45">
        <f>HLOOKUP(TBL_CalcDarwin[[#This Row],[Fecha]],'Plantilla AEG ES'!$E$1:$HX$13,4,FALSE)</f>
        <v>12</v>
      </c>
      <c r="AF62" s="45">
        <f>HLOOKUP(TBL_CalcDarwin[[#This Row],[Fecha]],'Plantilla AEG ES'!$E$1:$HX$13,5,FALSE)</f>
        <v>1</v>
      </c>
      <c r="AG62" s="45">
        <f>HLOOKUP(TBL_CalcDarwin[[#This Row],[Fecha]],'Plantilla AEG ES'!$E$1:$HX$13,6,FALSE)</f>
        <v>1</v>
      </c>
      <c r="AH62" s="45">
        <f>HLOOKUP(TBL_CalcDarwin[[#This Row],[Fecha]],'Plantilla AEG ES'!$E$1:$HX$13,7,FALSE)</f>
        <v>0</v>
      </c>
      <c r="AI62" s="46">
        <f>HLOOKUP(TBL_CalcDarwin[[#This Row],[Fecha]],'Plantilla AEG ES'!$E$1:$HX$13,8,FALSE)</f>
        <v>0</v>
      </c>
      <c r="AJ62" s="46">
        <f>HLOOKUP(TBL_CalcDarwin[[#This Row],[Fecha]],'Plantilla AEG ES'!$E$1:$HX$13,9,FALSE)</f>
        <v>3</v>
      </c>
      <c r="AK62" s="46">
        <f>HLOOKUP(TBL_CalcDarwin[[#This Row],[Fecha]],'Plantilla AEG ES'!$E$1:$HX$13,10,FALSE)</f>
        <v>12</v>
      </c>
      <c r="AL62" s="46">
        <f>HLOOKUP(TBL_CalcDarwin[[#This Row],[Fecha]],'Plantilla AEG ES'!$E$1:$HX$13,11,FALSE)</f>
        <v>1</v>
      </c>
      <c r="AM62" s="46">
        <f>HLOOKUP(TBL_CalcDarwin[[#This Row],[Fecha]],'Plantilla AEG ES'!$E$1:$HX$13,12,FALSE)</f>
        <v>7</v>
      </c>
      <c r="AN62" s="46">
        <f>HLOOKUP(TBL_CalcDarwin[[#This Row],[Fecha]],'Plantilla AEG ES'!$E$1:$HX$13,13,FALSE)</f>
        <v>1</v>
      </c>
      <c r="AO62" s="37">
        <f>TBL_CalcDarwin[[#This Row],[Lomitas - Barra A - 5.2 - Cerro]]+TBL_CalcDarwin[[#This Row],[Lomitas - Barra A - 5.2 - Medio]]+TBL_CalcDarwin[[#This Row],[Lomitas - Barra A - 5.2 - Mar]]</f>
        <v>25</v>
      </c>
      <c r="AP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62" s="37">
        <f>TBL_CalcDarwin[[#This Row],[Expansión - Barra A - 5.2 - Cerro]]+TBL_CalcDarwin[[#This Row],[Expansión - Barra A - 5.2 - Medio]]+TBL_CalcDarwin[[#This Row],[Expansión - Barra A - 5.2 - Mar]]</f>
        <v>2</v>
      </c>
      <c r="AT62" s="37">
        <f>TBL_CalcDarwin[[#This Row],[Expansión - Barra B - 5.2 - Cerro]]</f>
        <v>1</v>
      </c>
      <c r="AU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62" s="29">
        <f>TBL_CalcDarwin[[#This Row],[Expansión - Barra B - 5.2 - Cerro]]*TBL_CalcDarwin[[#This Row],[AEG 5.2 MW Cerro]]</f>
        <v>1.266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5">
        <f t="shared" si="0"/>
        <v>45586.541666666526</v>
      </c>
      <c r="C63" s="17">
        <f t="shared" si="5"/>
        <v>2.5416666666666661</v>
      </c>
      <c r="D63" s="34">
        <f>TBL_CalcDarwin[[#This Row],[Darwin PLOM
MW]]+TBL_CalcDarwin[[#This Row],[Darwin PLOME
MW]]</f>
        <v>160.476</v>
      </c>
      <c r="E63" s="34">
        <f>TBL_CalcDarwin[[#This Row],[PLOM MW TOTAL BARRA A]]+TBL_CalcDarwin[[#This Row],[PLOM MW TOTAL BARRA B]]</f>
        <v>154.87299999999999</v>
      </c>
      <c r="F63" s="34">
        <f>TBL_CalcDarwin[[#This Row],[PLOME MW TOTAL BARRA A]]+TBL_CalcDarwin[[#This Row],[PLOME MW TOTAL BARRA B]]</f>
        <v>5.6029999999999998</v>
      </c>
      <c r="G63" s="48">
        <f>'Plantilla Datos'!D68</f>
        <v>7.2</v>
      </c>
      <c r="H63" s="48">
        <f>'Plantilla Datos'!E68</f>
        <v>9.1</v>
      </c>
      <c r="I63" s="49">
        <f>'Plantilla Datos'!F68</f>
        <v>19.100000000000001</v>
      </c>
      <c r="J63" s="47">
        <f>CEILING('Plantilla Datos'!$L$3*TBL_CalcDarwin[[#This Row],[Darwin Gusts
m/s]],0.5)</f>
        <v>7</v>
      </c>
      <c r="K63" s="47">
        <f>CEILING('Plantilla Datos'!$L$4*TBL_CalcDarwin[[#This Row],[Darwin Gusts
m/s]],0.5)</f>
        <v>8</v>
      </c>
      <c r="L63" s="47">
        <f>CEILING(TBL_CalcDarwin[[#This Row],[Darwin Gusts
m/s]],0.5)</f>
        <v>9.5</v>
      </c>
      <c r="M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63" s="41">
        <f>INDEX(Curva_Temp[Temp],MATCH(TBL_CalcDarwin[[#This Row],[Darwin Temp.
°C]],Curva_Temp[Temp]))</f>
        <v>15</v>
      </c>
      <c r="R63" s="41">
        <f>INDEX(Curva_Temp[Warranted Power Curve for 
1.194Kg/m3 air density '[kW']
SG 5.0-145 (AM+1, 5.2MW) AT 
90M],MATCH(TBL_CalcDarwin[[#This Row],[Darwin Temp.
°C]],Curva_Temp[Temp]))</f>
        <v>5200</v>
      </c>
      <c r="S63" s="41" cm="1">
        <f t="array" ref="S63">INDEX(Curva_Temp[Temp],MATCH(TBL_CalcDarwin[[#This Row],[Darwin Temp.
°C]],Curva_Temp[Temp])+1)</f>
        <v>20</v>
      </c>
      <c r="T63" s="41" cm="1">
        <f t="array" ref="T63">INDEX(Curva_Temp[Warranted Power Curve for 
1.194Kg/m3 air density '[kW']
SG 5.0-145 (AM+1, 5.2MW) AT 
90M],MATCH(TBL_CalcDarwin[[#This Row],[Darwin Temp.
°C]],Curva_Temp[Temp])+1)</f>
        <v>5000</v>
      </c>
      <c r="U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63" s="41">
        <f>INDEX(Curva_Temp[Temp],MATCH(TBL_CalcDarwin[[#This Row],[Darwin Temp.
°C]],Curva_Temp[Temp]))</f>
        <v>15</v>
      </c>
      <c r="Z63" s="41">
        <f>INDEX(Curva_Temp[Warranted Power Curve for 
1.194Kg/m3 air density '[kW']
SG 5.0-145 (AM 0, 5.0MW) AT 
90M],MATCH(TBL_CalcDarwin[[#This Row],[Darwin Temp.
°C]],Curva_Temp[Temp]))</f>
        <v>5000</v>
      </c>
      <c r="AA63" s="41" cm="1">
        <f t="array" ref="AA63">INDEX(Curva_Temp[Temp],MATCH(TBL_CalcDarwin[[#This Row],[Darwin Temp.
°C]],Curva_Temp[Temp])+1)</f>
        <v>20</v>
      </c>
      <c r="AB63" s="41" cm="1">
        <f t="array" ref="AB63">INDEX(Curva_Temp[Warranted Power Curve for 
1.194Kg/m3 air density '[kW']
SG 5.0-145 (AM 0, 5.0MW) AT 
90M],MATCH(TBL_CalcDarwin[[#This Row],[Darwin Temp.
°C]],Curva_Temp[Temp])+1)</f>
        <v>5000</v>
      </c>
      <c r="AC63" s="45">
        <f>HLOOKUP(TBL_CalcDarwin[[#This Row],[Fecha]],'Plantilla AEG ES'!$E$1:$HX$13,2,FALSE)</f>
        <v>5</v>
      </c>
      <c r="AD63" s="45">
        <f>HLOOKUP(TBL_CalcDarwin[[#This Row],[Fecha]],'Plantilla AEG ES'!$E$1:$HX$13,3,FALSE)</f>
        <v>8</v>
      </c>
      <c r="AE63" s="45">
        <f>HLOOKUP(TBL_CalcDarwin[[#This Row],[Fecha]],'Plantilla AEG ES'!$E$1:$HX$13,4,FALSE)</f>
        <v>12</v>
      </c>
      <c r="AF63" s="45">
        <f>HLOOKUP(TBL_CalcDarwin[[#This Row],[Fecha]],'Plantilla AEG ES'!$E$1:$HX$13,5,FALSE)</f>
        <v>1</v>
      </c>
      <c r="AG63" s="45">
        <f>HLOOKUP(TBL_CalcDarwin[[#This Row],[Fecha]],'Plantilla AEG ES'!$E$1:$HX$13,6,FALSE)</f>
        <v>1</v>
      </c>
      <c r="AH63" s="45">
        <f>HLOOKUP(TBL_CalcDarwin[[#This Row],[Fecha]],'Plantilla AEG ES'!$E$1:$HX$13,7,FALSE)</f>
        <v>0</v>
      </c>
      <c r="AI63" s="46">
        <f>HLOOKUP(TBL_CalcDarwin[[#This Row],[Fecha]],'Plantilla AEG ES'!$E$1:$HX$13,8,FALSE)</f>
        <v>0</v>
      </c>
      <c r="AJ63" s="46">
        <f>HLOOKUP(TBL_CalcDarwin[[#This Row],[Fecha]],'Plantilla AEG ES'!$E$1:$HX$13,9,FALSE)</f>
        <v>3</v>
      </c>
      <c r="AK63" s="46">
        <f>HLOOKUP(TBL_CalcDarwin[[#This Row],[Fecha]],'Plantilla AEG ES'!$E$1:$HX$13,10,FALSE)</f>
        <v>12</v>
      </c>
      <c r="AL63" s="46">
        <f>HLOOKUP(TBL_CalcDarwin[[#This Row],[Fecha]],'Plantilla AEG ES'!$E$1:$HX$13,11,FALSE)</f>
        <v>1</v>
      </c>
      <c r="AM63" s="46">
        <f>HLOOKUP(TBL_CalcDarwin[[#This Row],[Fecha]],'Plantilla AEG ES'!$E$1:$HX$13,12,FALSE)</f>
        <v>7</v>
      </c>
      <c r="AN63" s="46">
        <f>HLOOKUP(TBL_CalcDarwin[[#This Row],[Fecha]],'Plantilla AEG ES'!$E$1:$HX$13,13,FALSE)</f>
        <v>1</v>
      </c>
      <c r="AO63" s="37">
        <f>TBL_CalcDarwin[[#This Row],[Lomitas - Barra A - 5.2 - Cerro]]+TBL_CalcDarwin[[#This Row],[Lomitas - Barra A - 5.2 - Medio]]+TBL_CalcDarwin[[#This Row],[Lomitas - Barra A - 5.2 - Mar]]</f>
        <v>25</v>
      </c>
      <c r="AP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63" s="37">
        <f>TBL_CalcDarwin[[#This Row],[Expansión - Barra A - 5.2 - Cerro]]+TBL_CalcDarwin[[#This Row],[Expansión - Barra A - 5.2 - Medio]]+TBL_CalcDarwin[[#This Row],[Expansión - Barra A - 5.2 - Mar]]</f>
        <v>2</v>
      </c>
      <c r="AT63" s="37">
        <f>TBL_CalcDarwin[[#This Row],[Expansión - Barra B - 5.2 - Cerro]]</f>
        <v>1</v>
      </c>
      <c r="AU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63" s="29">
        <f>TBL_CalcDarwin[[#This Row],[Expansión - Barra B - 5.2 - Cerro]]*TBL_CalcDarwin[[#This Row],[AEG 5.2 MW Cerro]]</f>
        <v>1.597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5">
        <f t="shared" si="0"/>
        <v>45586.58333333319</v>
      </c>
      <c r="C64" s="17">
        <f t="shared" si="5"/>
        <v>2.5833333333333326</v>
      </c>
      <c r="D64" s="34">
        <f>TBL_CalcDarwin[[#This Row],[Darwin PLOM
MW]]+TBL_CalcDarwin[[#This Row],[Darwin PLOME
MW]]</f>
        <v>160.476</v>
      </c>
      <c r="E64" s="34">
        <f>TBL_CalcDarwin[[#This Row],[PLOM MW TOTAL BARRA A]]+TBL_CalcDarwin[[#This Row],[PLOM MW TOTAL BARRA B]]</f>
        <v>154.87299999999999</v>
      </c>
      <c r="F64" s="34">
        <f>TBL_CalcDarwin[[#This Row],[PLOME MW TOTAL BARRA A]]+TBL_CalcDarwin[[#This Row],[PLOME MW TOTAL BARRA B]]</f>
        <v>5.6029999999999998</v>
      </c>
      <c r="G64" s="48">
        <f>'Plantilla Datos'!D69</f>
        <v>7.4</v>
      </c>
      <c r="H64" s="48">
        <f>'Plantilla Datos'!E69</f>
        <v>9.3000000000000007</v>
      </c>
      <c r="I64" s="49">
        <f>'Plantilla Datos'!F69</f>
        <v>18.8</v>
      </c>
      <c r="J64" s="47">
        <f>CEILING('Plantilla Datos'!$L$3*TBL_CalcDarwin[[#This Row],[Darwin Gusts
m/s]],0.5)</f>
        <v>7</v>
      </c>
      <c r="K64" s="47">
        <f>CEILING('Plantilla Datos'!$L$4*TBL_CalcDarwin[[#This Row],[Darwin Gusts
m/s]],0.5)</f>
        <v>8</v>
      </c>
      <c r="L64" s="47">
        <f>CEILING(TBL_CalcDarwin[[#This Row],[Darwin Gusts
m/s]],0.5)</f>
        <v>9.5</v>
      </c>
      <c r="M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64" s="41">
        <f>INDEX(Curva_Temp[Temp],MATCH(TBL_CalcDarwin[[#This Row],[Darwin Temp.
°C]],Curva_Temp[Temp]))</f>
        <v>15</v>
      </c>
      <c r="R64" s="41">
        <f>INDEX(Curva_Temp[Warranted Power Curve for 
1.194Kg/m3 air density '[kW']
SG 5.0-145 (AM+1, 5.2MW) AT 
90M],MATCH(TBL_CalcDarwin[[#This Row],[Darwin Temp.
°C]],Curva_Temp[Temp]))</f>
        <v>5200</v>
      </c>
      <c r="S64" s="41" cm="1">
        <f t="array" ref="S64">INDEX(Curva_Temp[Temp],MATCH(TBL_CalcDarwin[[#This Row],[Darwin Temp.
°C]],Curva_Temp[Temp])+1)</f>
        <v>20</v>
      </c>
      <c r="T64" s="41" cm="1">
        <f t="array" ref="T64">INDEX(Curva_Temp[Warranted Power Curve for 
1.194Kg/m3 air density '[kW']
SG 5.0-145 (AM+1, 5.2MW) AT 
90M],MATCH(TBL_CalcDarwin[[#This Row],[Darwin Temp.
°C]],Curva_Temp[Temp])+1)</f>
        <v>5000</v>
      </c>
      <c r="U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64" s="41">
        <f>INDEX(Curva_Temp[Temp],MATCH(TBL_CalcDarwin[[#This Row],[Darwin Temp.
°C]],Curva_Temp[Temp]))</f>
        <v>15</v>
      </c>
      <c r="Z64" s="41">
        <f>INDEX(Curva_Temp[Warranted Power Curve for 
1.194Kg/m3 air density '[kW']
SG 5.0-145 (AM 0, 5.0MW) AT 
90M],MATCH(TBL_CalcDarwin[[#This Row],[Darwin Temp.
°C]],Curva_Temp[Temp]))</f>
        <v>5000</v>
      </c>
      <c r="AA64" s="41" cm="1">
        <f t="array" ref="AA64">INDEX(Curva_Temp[Temp],MATCH(TBL_CalcDarwin[[#This Row],[Darwin Temp.
°C]],Curva_Temp[Temp])+1)</f>
        <v>20</v>
      </c>
      <c r="AB64" s="41" cm="1">
        <f t="array" ref="AB64">INDEX(Curva_Temp[Warranted Power Curve for 
1.194Kg/m3 air density '[kW']
SG 5.0-145 (AM 0, 5.0MW) AT 
90M],MATCH(TBL_CalcDarwin[[#This Row],[Darwin Temp.
°C]],Curva_Temp[Temp])+1)</f>
        <v>5000</v>
      </c>
      <c r="AC64" s="45">
        <f>HLOOKUP(TBL_CalcDarwin[[#This Row],[Fecha]],'Plantilla AEG ES'!$E$1:$HX$13,2,FALSE)</f>
        <v>5</v>
      </c>
      <c r="AD64" s="45">
        <f>HLOOKUP(TBL_CalcDarwin[[#This Row],[Fecha]],'Plantilla AEG ES'!$E$1:$HX$13,3,FALSE)</f>
        <v>8</v>
      </c>
      <c r="AE64" s="45">
        <f>HLOOKUP(TBL_CalcDarwin[[#This Row],[Fecha]],'Plantilla AEG ES'!$E$1:$HX$13,4,FALSE)</f>
        <v>12</v>
      </c>
      <c r="AF64" s="45">
        <f>HLOOKUP(TBL_CalcDarwin[[#This Row],[Fecha]],'Plantilla AEG ES'!$E$1:$HX$13,5,FALSE)</f>
        <v>1</v>
      </c>
      <c r="AG64" s="45">
        <f>HLOOKUP(TBL_CalcDarwin[[#This Row],[Fecha]],'Plantilla AEG ES'!$E$1:$HX$13,6,FALSE)</f>
        <v>1</v>
      </c>
      <c r="AH64" s="45">
        <f>HLOOKUP(TBL_CalcDarwin[[#This Row],[Fecha]],'Plantilla AEG ES'!$E$1:$HX$13,7,FALSE)</f>
        <v>0</v>
      </c>
      <c r="AI64" s="46">
        <f>HLOOKUP(TBL_CalcDarwin[[#This Row],[Fecha]],'Plantilla AEG ES'!$E$1:$HX$13,8,FALSE)</f>
        <v>0</v>
      </c>
      <c r="AJ64" s="46">
        <f>HLOOKUP(TBL_CalcDarwin[[#This Row],[Fecha]],'Plantilla AEG ES'!$E$1:$HX$13,9,FALSE)</f>
        <v>3</v>
      </c>
      <c r="AK64" s="46">
        <f>HLOOKUP(TBL_CalcDarwin[[#This Row],[Fecha]],'Plantilla AEG ES'!$E$1:$HX$13,10,FALSE)</f>
        <v>12</v>
      </c>
      <c r="AL64" s="46">
        <f>HLOOKUP(TBL_CalcDarwin[[#This Row],[Fecha]],'Plantilla AEG ES'!$E$1:$HX$13,11,FALSE)</f>
        <v>1</v>
      </c>
      <c r="AM64" s="46">
        <f>HLOOKUP(TBL_CalcDarwin[[#This Row],[Fecha]],'Plantilla AEG ES'!$E$1:$HX$13,12,FALSE)</f>
        <v>7</v>
      </c>
      <c r="AN64" s="46">
        <f>HLOOKUP(TBL_CalcDarwin[[#This Row],[Fecha]],'Plantilla AEG ES'!$E$1:$HX$13,13,FALSE)</f>
        <v>1</v>
      </c>
      <c r="AO64" s="37">
        <f>TBL_CalcDarwin[[#This Row],[Lomitas - Barra A - 5.2 - Cerro]]+TBL_CalcDarwin[[#This Row],[Lomitas - Barra A - 5.2 - Medio]]+TBL_CalcDarwin[[#This Row],[Lomitas - Barra A - 5.2 - Mar]]</f>
        <v>25</v>
      </c>
      <c r="AP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64" s="37">
        <f>TBL_CalcDarwin[[#This Row],[Expansión - Barra A - 5.2 - Cerro]]+TBL_CalcDarwin[[#This Row],[Expansión - Barra A - 5.2 - Medio]]+TBL_CalcDarwin[[#This Row],[Expansión - Barra A - 5.2 - Mar]]</f>
        <v>2</v>
      </c>
      <c r="AT64" s="37">
        <f>TBL_CalcDarwin[[#This Row],[Expansión - Barra B - 5.2 - Cerro]]</f>
        <v>1</v>
      </c>
      <c r="AU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64" s="29">
        <f>TBL_CalcDarwin[[#This Row],[Expansión - Barra B - 5.2 - Cerro]]*TBL_CalcDarwin[[#This Row],[AEG 5.2 MW Cerro]]</f>
        <v>1.597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5">
        <f t="shared" si="0"/>
        <v>45586.624999999854</v>
      </c>
      <c r="C65" s="17">
        <f t="shared" si="5"/>
        <v>2.6249999999999991</v>
      </c>
      <c r="D65" s="34">
        <f>TBL_CalcDarwin[[#This Row],[Darwin PLOM
MW]]+TBL_CalcDarwin[[#This Row],[Darwin PLOME
MW]]</f>
        <v>179.61</v>
      </c>
      <c r="E65" s="34">
        <f>TBL_CalcDarwin[[#This Row],[PLOM MW TOTAL BARRA A]]+TBL_CalcDarwin[[#This Row],[PLOM MW TOTAL BARRA B]]</f>
        <v>173.53800000000001</v>
      </c>
      <c r="F65" s="34">
        <f>TBL_CalcDarwin[[#This Row],[PLOME MW TOTAL BARRA A]]+TBL_CalcDarwin[[#This Row],[PLOME MW TOTAL BARRA B]]</f>
        <v>6.0719999999999992</v>
      </c>
      <c r="G65" s="48">
        <f>'Plantilla Datos'!D70</f>
        <v>7.6</v>
      </c>
      <c r="H65" s="48">
        <f>'Plantilla Datos'!E70</f>
        <v>9.6</v>
      </c>
      <c r="I65" s="49">
        <f>'Plantilla Datos'!F70</f>
        <v>18.5</v>
      </c>
      <c r="J65" s="47">
        <f>CEILING('Plantilla Datos'!$L$3*TBL_CalcDarwin[[#This Row],[Darwin Gusts
m/s]],0.5)</f>
        <v>7</v>
      </c>
      <c r="K65" s="47">
        <f>CEILING('Plantilla Datos'!$L$4*TBL_CalcDarwin[[#This Row],[Darwin Gusts
m/s]],0.5)</f>
        <v>8.5</v>
      </c>
      <c r="L65" s="47">
        <f>CEILING(TBL_CalcDarwin[[#This Row],[Darwin Gusts
m/s]],0.5)</f>
        <v>10</v>
      </c>
      <c r="M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65" s="41">
        <f>INDEX(Curva_Temp[Temp],MATCH(TBL_CalcDarwin[[#This Row],[Darwin Temp.
°C]],Curva_Temp[Temp]))</f>
        <v>15</v>
      </c>
      <c r="R65" s="41">
        <f>INDEX(Curva_Temp[Warranted Power Curve for 
1.194Kg/m3 air density '[kW']
SG 5.0-145 (AM+1, 5.2MW) AT 
90M],MATCH(TBL_CalcDarwin[[#This Row],[Darwin Temp.
°C]],Curva_Temp[Temp]))</f>
        <v>5200</v>
      </c>
      <c r="S65" s="41" cm="1">
        <f t="array" ref="S65">INDEX(Curva_Temp[Temp],MATCH(TBL_CalcDarwin[[#This Row],[Darwin Temp.
°C]],Curva_Temp[Temp])+1)</f>
        <v>20</v>
      </c>
      <c r="T65" s="41" cm="1">
        <f t="array" ref="T65">INDEX(Curva_Temp[Warranted Power Curve for 
1.194Kg/m3 air density '[kW']
SG 5.0-145 (AM+1, 5.2MW) AT 
90M],MATCH(TBL_CalcDarwin[[#This Row],[Darwin Temp.
°C]],Curva_Temp[Temp])+1)</f>
        <v>5000</v>
      </c>
      <c r="U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65" s="41">
        <f>INDEX(Curva_Temp[Temp],MATCH(TBL_CalcDarwin[[#This Row],[Darwin Temp.
°C]],Curva_Temp[Temp]))</f>
        <v>15</v>
      </c>
      <c r="Z65" s="41">
        <f>INDEX(Curva_Temp[Warranted Power Curve for 
1.194Kg/m3 air density '[kW']
SG 5.0-145 (AM 0, 5.0MW) AT 
90M],MATCH(TBL_CalcDarwin[[#This Row],[Darwin Temp.
°C]],Curva_Temp[Temp]))</f>
        <v>5000</v>
      </c>
      <c r="AA65" s="41" cm="1">
        <f t="array" ref="AA65">INDEX(Curva_Temp[Temp],MATCH(TBL_CalcDarwin[[#This Row],[Darwin Temp.
°C]],Curva_Temp[Temp])+1)</f>
        <v>20</v>
      </c>
      <c r="AB65" s="41" cm="1">
        <f t="array" ref="AB65">INDEX(Curva_Temp[Warranted Power Curve for 
1.194Kg/m3 air density '[kW']
SG 5.0-145 (AM 0, 5.0MW) AT 
90M],MATCH(TBL_CalcDarwin[[#This Row],[Darwin Temp.
°C]],Curva_Temp[Temp])+1)</f>
        <v>5000</v>
      </c>
      <c r="AC65" s="45">
        <f>HLOOKUP(TBL_CalcDarwin[[#This Row],[Fecha]],'Plantilla AEG ES'!$E$1:$HX$13,2,FALSE)</f>
        <v>5</v>
      </c>
      <c r="AD65" s="45">
        <f>HLOOKUP(TBL_CalcDarwin[[#This Row],[Fecha]],'Plantilla AEG ES'!$E$1:$HX$13,3,FALSE)</f>
        <v>8</v>
      </c>
      <c r="AE65" s="45">
        <f>HLOOKUP(TBL_CalcDarwin[[#This Row],[Fecha]],'Plantilla AEG ES'!$E$1:$HX$13,4,FALSE)</f>
        <v>12</v>
      </c>
      <c r="AF65" s="45">
        <f>HLOOKUP(TBL_CalcDarwin[[#This Row],[Fecha]],'Plantilla AEG ES'!$E$1:$HX$13,5,FALSE)</f>
        <v>1</v>
      </c>
      <c r="AG65" s="45">
        <f>HLOOKUP(TBL_CalcDarwin[[#This Row],[Fecha]],'Plantilla AEG ES'!$E$1:$HX$13,6,FALSE)</f>
        <v>1</v>
      </c>
      <c r="AH65" s="45">
        <f>HLOOKUP(TBL_CalcDarwin[[#This Row],[Fecha]],'Plantilla AEG ES'!$E$1:$HX$13,7,FALSE)</f>
        <v>0</v>
      </c>
      <c r="AI65" s="46">
        <f>HLOOKUP(TBL_CalcDarwin[[#This Row],[Fecha]],'Plantilla AEG ES'!$E$1:$HX$13,8,FALSE)</f>
        <v>0</v>
      </c>
      <c r="AJ65" s="46">
        <f>HLOOKUP(TBL_CalcDarwin[[#This Row],[Fecha]],'Plantilla AEG ES'!$E$1:$HX$13,9,FALSE)</f>
        <v>3</v>
      </c>
      <c r="AK65" s="46">
        <f>HLOOKUP(TBL_CalcDarwin[[#This Row],[Fecha]],'Plantilla AEG ES'!$E$1:$HX$13,10,FALSE)</f>
        <v>12</v>
      </c>
      <c r="AL65" s="46">
        <f>HLOOKUP(TBL_CalcDarwin[[#This Row],[Fecha]],'Plantilla AEG ES'!$E$1:$HX$13,11,FALSE)</f>
        <v>1</v>
      </c>
      <c r="AM65" s="46">
        <f>HLOOKUP(TBL_CalcDarwin[[#This Row],[Fecha]],'Plantilla AEG ES'!$E$1:$HX$13,12,FALSE)</f>
        <v>7</v>
      </c>
      <c r="AN65" s="46">
        <f>HLOOKUP(TBL_CalcDarwin[[#This Row],[Fecha]],'Plantilla AEG ES'!$E$1:$HX$13,13,FALSE)</f>
        <v>1</v>
      </c>
      <c r="AO65" s="37">
        <f>TBL_CalcDarwin[[#This Row],[Lomitas - Barra A - 5.2 - Cerro]]+TBL_CalcDarwin[[#This Row],[Lomitas - Barra A - 5.2 - Medio]]+TBL_CalcDarwin[[#This Row],[Lomitas - Barra A - 5.2 - Mar]]</f>
        <v>25</v>
      </c>
      <c r="AP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65" s="37">
        <f>TBL_CalcDarwin[[#This Row],[Expansión - Barra A - 5.2 - Cerro]]+TBL_CalcDarwin[[#This Row],[Expansión - Barra A - 5.2 - Medio]]+TBL_CalcDarwin[[#This Row],[Expansión - Barra A - 5.2 - Mar]]</f>
        <v>2</v>
      </c>
      <c r="AT65" s="37">
        <f>TBL_CalcDarwin[[#This Row],[Expansión - Barra B - 5.2 - Cerro]]</f>
        <v>1</v>
      </c>
      <c r="AU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65" s="29">
        <f>TBL_CalcDarwin[[#This Row],[Expansión - Barra B - 5.2 - Cerro]]*TBL_CalcDarwin[[#This Row],[AEG 5.2 MW Cerro]]</f>
        <v>1.597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5">
        <f t="shared" si="0"/>
        <v>45586.666666666519</v>
      </c>
      <c r="C66" s="17">
        <f t="shared" si="5"/>
        <v>2.6666666666666656</v>
      </c>
      <c r="D66" s="34">
        <f>TBL_CalcDarwin[[#This Row],[Darwin PLOM
MW]]+TBL_CalcDarwin[[#This Row],[Darwin PLOME
MW]]</f>
        <v>182.655</v>
      </c>
      <c r="E66" s="34">
        <f>TBL_CalcDarwin[[#This Row],[PLOM MW TOTAL BARRA A]]+TBL_CalcDarwin[[#This Row],[PLOM MW TOTAL BARRA B]]</f>
        <v>175.821</v>
      </c>
      <c r="F66" s="34">
        <f>TBL_CalcDarwin[[#This Row],[PLOME MW TOTAL BARRA A]]+TBL_CalcDarwin[[#This Row],[PLOME MW TOTAL BARRA B]]</f>
        <v>6.8339999999999996</v>
      </c>
      <c r="G66" s="48">
        <f>'Plantilla Datos'!D71</f>
        <v>7.9</v>
      </c>
      <c r="H66" s="48">
        <f>'Plantilla Datos'!E71</f>
        <v>9.8000000000000007</v>
      </c>
      <c r="I66" s="49">
        <f>'Plantilla Datos'!F71</f>
        <v>18.2</v>
      </c>
      <c r="J66" s="47">
        <f>CEILING('Plantilla Datos'!$L$3*TBL_CalcDarwin[[#This Row],[Darwin Gusts
m/s]],0.5)</f>
        <v>7.5</v>
      </c>
      <c r="K66" s="47">
        <f>CEILING('Plantilla Datos'!$L$4*TBL_CalcDarwin[[#This Row],[Darwin Gusts
m/s]],0.5)</f>
        <v>8.5</v>
      </c>
      <c r="L66" s="47">
        <f>CEILING(TBL_CalcDarwin[[#This Row],[Darwin Gusts
m/s]],0.5)</f>
        <v>10</v>
      </c>
      <c r="M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66" s="41">
        <f>INDEX(Curva_Temp[Temp],MATCH(TBL_CalcDarwin[[#This Row],[Darwin Temp.
°C]],Curva_Temp[Temp]))</f>
        <v>15</v>
      </c>
      <c r="R66" s="41">
        <f>INDEX(Curva_Temp[Warranted Power Curve for 
1.194Kg/m3 air density '[kW']
SG 5.0-145 (AM+1, 5.2MW) AT 
90M],MATCH(TBL_CalcDarwin[[#This Row],[Darwin Temp.
°C]],Curva_Temp[Temp]))</f>
        <v>5200</v>
      </c>
      <c r="S66" s="41" cm="1">
        <f t="array" ref="S66">INDEX(Curva_Temp[Temp],MATCH(TBL_CalcDarwin[[#This Row],[Darwin Temp.
°C]],Curva_Temp[Temp])+1)</f>
        <v>20</v>
      </c>
      <c r="T66" s="41" cm="1">
        <f t="array" ref="T66">INDEX(Curva_Temp[Warranted Power Curve for 
1.194Kg/m3 air density '[kW']
SG 5.0-145 (AM+1, 5.2MW) AT 
90M],MATCH(TBL_CalcDarwin[[#This Row],[Darwin Temp.
°C]],Curva_Temp[Temp])+1)</f>
        <v>5000</v>
      </c>
      <c r="U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66" s="41">
        <f>INDEX(Curva_Temp[Temp],MATCH(TBL_CalcDarwin[[#This Row],[Darwin Temp.
°C]],Curva_Temp[Temp]))</f>
        <v>15</v>
      </c>
      <c r="Z66" s="41">
        <f>INDEX(Curva_Temp[Warranted Power Curve for 
1.194Kg/m3 air density '[kW']
SG 5.0-145 (AM 0, 5.0MW) AT 
90M],MATCH(TBL_CalcDarwin[[#This Row],[Darwin Temp.
°C]],Curva_Temp[Temp]))</f>
        <v>5000</v>
      </c>
      <c r="AA66" s="41" cm="1">
        <f t="array" ref="AA66">INDEX(Curva_Temp[Temp],MATCH(TBL_CalcDarwin[[#This Row],[Darwin Temp.
°C]],Curva_Temp[Temp])+1)</f>
        <v>20</v>
      </c>
      <c r="AB66" s="41" cm="1">
        <f t="array" ref="AB66">INDEX(Curva_Temp[Warranted Power Curve for 
1.194Kg/m3 air density '[kW']
SG 5.0-145 (AM 0, 5.0MW) AT 
90M],MATCH(TBL_CalcDarwin[[#This Row],[Darwin Temp.
°C]],Curva_Temp[Temp])+1)</f>
        <v>5000</v>
      </c>
      <c r="AC66" s="45">
        <f>HLOOKUP(TBL_CalcDarwin[[#This Row],[Fecha]],'Plantilla AEG ES'!$E$1:$HX$13,2,FALSE)</f>
        <v>5</v>
      </c>
      <c r="AD66" s="45">
        <f>HLOOKUP(TBL_CalcDarwin[[#This Row],[Fecha]],'Plantilla AEG ES'!$E$1:$HX$13,3,FALSE)</f>
        <v>8</v>
      </c>
      <c r="AE66" s="45">
        <f>HLOOKUP(TBL_CalcDarwin[[#This Row],[Fecha]],'Plantilla AEG ES'!$E$1:$HX$13,4,FALSE)</f>
        <v>12</v>
      </c>
      <c r="AF66" s="45">
        <f>HLOOKUP(TBL_CalcDarwin[[#This Row],[Fecha]],'Plantilla AEG ES'!$E$1:$HX$13,5,FALSE)</f>
        <v>1</v>
      </c>
      <c r="AG66" s="45">
        <f>HLOOKUP(TBL_CalcDarwin[[#This Row],[Fecha]],'Plantilla AEG ES'!$E$1:$HX$13,6,FALSE)</f>
        <v>1</v>
      </c>
      <c r="AH66" s="45">
        <f>HLOOKUP(TBL_CalcDarwin[[#This Row],[Fecha]],'Plantilla AEG ES'!$E$1:$HX$13,7,FALSE)</f>
        <v>0</v>
      </c>
      <c r="AI66" s="46">
        <f>HLOOKUP(TBL_CalcDarwin[[#This Row],[Fecha]],'Plantilla AEG ES'!$E$1:$HX$13,8,FALSE)</f>
        <v>0</v>
      </c>
      <c r="AJ66" s="46">
        <f>HLOOKUP(TBL_CalcDarwin[[#This Row],[Fecha]],'Plantilla AEG ES'!$E$1:$HX$13,9,FALSE)</f>
        <v>3</v>
      </c>
      <c r="AK66" s="46">
        <f>HLOOKUP(TBL_CalcDarwin[[#This Row],[Fecha]],'Plantilla AEG ES'!$E$1:$HX$13,10,FALSE)</f>
        <v>12</v>
      </c>
      <c r="AL66" s="46">
        <f>HLOOKUP(TBL_CalcDarwin[[#This Row],[Fecha]],'Plantilla AEG ES'!$E$1:$HX$13,11,FALSE)</f>
        <v>1</v>
      </c>
      <c r="AM66" s="46">
        <f>HLOOKUP(TBL_CalcDarwin[[#This Row],[Fecha]],'Plantilla AEG ES'!$E$1:$HX$13,12,FALSE)</f>
        <v>7</v>
      </c>
      <c r="AN66" s="46">
        <f>HLOOKUP(TBL_CalcDarwin[[#This Row],[Fecha]],'Plantilla AEG ES'!$E$1:$HX$13,13,FALSE)</f>
        <v>1</v>
      </c>
      <c r="AO66" s="37">
        <f>TBL_CalcDarwin[[#This Row],[Lomitas - Barra A - 5.2 - Cerro]]+TBL_CalcDarwin[[#This Row],[Lomitas - Barra A - 5.2 - Medio]]+TBL_CalcDarwin[[#This Row],[Lomitas - Barra A - 5.2 - Mar]]</f>
        <v>25</v>
      </c>
      <c r="AP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66" s="37">
        <f>TBL_CalcDarwin[[#This Row],[Expansión - Barra A - 5.2 - Cerro]]+TBL_CalcDarwin[[#This Row],[Expansión - Barra A - 5.2 - Medio]]+TBL_CalcDarwin[[#This Row],[Expansión - Barra A - 5.2 - Mar]]</f>
        <v>2</v>
      </c>
      <c r="AT66" s="37">
        <f>TBL_CalcDarwin[[#This Row],[Expansión - Barra B - 5.2 - Cerro]]</f>
        <v>1</v>
      </c>
      <c r="AU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66" s="29">
        <f>TBL_CalcDarwin[[#This Row],[Expansión - Barra B - 5.2 - Cerro]]*TBL_CalcDarwin[[#This Row],[AEG 5.2 MW Cerro]]</f>
        <v>1.978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5">
        <f t="shared" si="0"/>
        <v>45586.708333333183</v>
      </c>
      <c r="C67" s="17">
        <f t="shared" si="5"/>
        <v>2.7083333333333321</v>
      </c>
      <c r="D67" s="34">
        <f>TBL_CalcDarwin[[#This Row],[Darwin PLOM
MW]]+TBL_CalcDarwin[[#This Row],[Darwin PLOME
MW]]</f>
        <v>199.93799999999999</v>
      </c>
      <c r="E67" s="34">
        <f>TBL_CalcDarwin[[#This Row],[PLOM MW TOTAL BARRA A]]+TBL_CalcDarwin[[#This Row],[PLOM MW TOTAL BARRA B]]</f>
        <v>192.61599999999999</v>
      </c>
      <c r="F67" s="34">
        <f>TBL_CalcDarwin[[#This Row],[PLOME MW TOTAL BARRA A]]+TBL_CalcDarwin[[#This Row],[PLOME MW TOTAL BARRA B]]</f>
        <v>7.3220000000000001</v>
      </c>
      <c r="G67" s="48">
        <f>'Plantilla Datos'!D72</f>
        <v>8.1</v>
      </c>
      <c r="H67" s="48">
        <f>'Plantilla Datos'!E72</f>
        <v>10.1</v>
      </c>
      <c r="I67" s="49">
        <f>'Plantilla Datos'!F72</f>
        <v>17.7</v>
      </c>
      <c r="J67" s="47">
        <f>CEILING('Plantilla Datos'!$L$3*TBL_CalcDarwin[[#This Row],[Darwin Gusts
m/s]],0.5)</f>
        <v>7.5</v>
      </c>
      <c r="K67" s="47">
        <f>CEILING('Plantilla Datos'!$L$4*TBL_CalcDarwin[[#This Row],[Darwin Gusts
m/s]],0.5)</f>
        <v>9</v>
      </c>
      <c r="L67" s="47">
        <f>CEILING(TBL_CalcDarwin[[#This Row],[Darwin Gusts
m/s]],0.5)</f>
        <v>10.5</v>
      </c>
      <c r="M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67" s="41">
        <f>INDEX(Curva_Temp[Temp],MATCH(TBL_CalcDarwin[[#This Row],[Darwin Temp.
°C]],Curva_Temp[Temp]))</f>
        <v>15</v>
      </c>
      <c r="R67" s="41">
        <f>INDEX(Curva_Temp[Warranted Power Curve for 
1.194Kg/m3 air density '[kW']
SG 5.0-145 (AM+1, 5.2MW) AT 
90M],MATCH(TBL_CalcDarwin[[#This Row],[Darwin Temp.
°C]],Curva_Temp[Temp]))</f>
        <v>5200</v>
      </c>
      <c r="S67" s="41" cm="1">
        <f t="array" ref="S67">INDEX(Curva_Temp[Temp],MATCH(TBL_CalcDarwin[[#This Row],[Darwin Temp.
°C]],Curva_Temp[Temp])+1)</f>
        <v>20</v>
      </c>
      <c r="T67" s="41" cm="1">
        <f t="array" ref="T67">INDEX(Curva_Temp[Warranted Power Curve for 
1.194Kg/m3 air density '[kW']
SG 5.0-145 (AM+1, 5.2MW) AT 
90M],MATCH(TBL_CalcDarwin[[#This Row],[Darwin Temp.
°C]],Curva_Temp[Temp])+1)</f>
        <v>5000</v>
      </c>
      <c r="U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67" s="41">
        <f>INDEX(Curva_Temp[Temp],MATCH(TBL_CalcDarwin[[#This Row],[Darwin Temp.
°C]],Curva_Temp[Temp]))</f>
        <v>15</v>
      </c>
      <c r="Z67" s="41">
        <f>INDEX(Curva_Temp[Warranted Power Curve for 
1.194Kg/m3 air density '[kW']
SG 5.0-145 (AM 0, 5.0MW) AT 
90M],MATCH(TBL_CalcDarwin[[#This Row],[Darwin Temp.
°C]],Curva_Temp[Temp]))</f>
        <v>5000</v>
      </c>
      <c r="AA67" s="41" cm="1">
        <f t="array" ref="AA67">INDEX(Curva_Temp[Temp],MATCH(TBL_CalcDarwin[[#This Row],[Darwin Temp.
°C]],Curva_Temp[Temp])+1)</f>
        <v>20</v>
      </c>
      <c r="AB67" s="41" cm="1">
        <f t="array" ref="AB67">INDEX(Curva_Temp[Warranted Power Curve for 
1.194Kg/m3 air density '[kW']
SG 5.0-145 (AM 0, 5.0MW) AT 
90M],MATCH(TBL_CalcDarwin[[#This Row],[Darwin Temp.
°C]],Curva_Temp[Temp])+1)</f>
        <v>5000</v>
      </c>
      <c r="AC67" s="45">
        <f>HLOOKUP(TBL_CalcDarwin[[#This Row],[Fecha]],'Plantilla AEG ES'!$E$1:$HX$13,2,FALSE)</f>
        <v>5</v>
      </c>
      <c r="AD67" s="45">
        <f>HLOOKUP(TBL_CalcDarwin[[#This Row],[Fecha]],'Plantilla AEG ES'!$E$1:$HX$13,3,FALSE)</f>
        <v>8</v>
      </c>
      <c r="AE67" s="45">
        <f>HLOOKUP(TBL_CalcDarwin[[#This Row],[Fecha]],'Plantilla AEG ES'!$E$1:$HX$13,4,FALSE)</f>
        <v>12</v>
      </c>
      <c r="AF67" s="45">
        <f>HLOOKUP(TBL_CalcDarwin[[#This Row],[Fecha]],'Plantilla AEG ES'!$E$1:$HX$13,5,FALSE)</f>
        <v>1</v>
      </c>
      <c r="AG67" s="45">
        <f>HLOOKUP(TBL_CalcDarwin[[#This Row],[Fecha]],'Plantilla AEG ES'!$E$1:$HX$13,6,FALSE)</f>
        <v>1</v>
      </c>
      <c r="AH67" s="45">
        <f>HLOOKUP(TBL_CalcDarwin[[#This Row],[Fecha]],'Plantilla AEG ES'!$E$1:$HX$13,7,FALSE)</f>
        <v>0</v>
      </c>
      <c r="AI67" s="46">
        <f>HLOOKUP(TBL_CalcDarwin[[#This Row],[Fecha]],'Plantilla AEG ES'!$E$1:$HX$13,8,FALSE)</f>
        <v>0</v>
      </c>
      <c r="AJ67" s="46">
        <f>HLOOKUP(TBL_CalcDarwin[[#This Row],[Fecha]],'Plantilla AEG ES'!$E$1:$HX$13,9,FALSE)</f>
        <v>3</v>
      </c>
      <c r="AK67" s="46">
        <f>HLOOKUP(TBL_CalcDarwin[[#This Row],[Fecha]],'Plantilla AEG ES'!$E$1:$HX$13,10,FALSE)</f>
        <v>12</v>
      </c>
      <c r="AL67" s="46">
        <f>HLOOKUP(TBL_CalcDarwin[[#This Row],[Fecha]],'Plantilla AEG ES'!$E$1:$HX$13,11,FALSE)</f>
        <v>1</v>
      </c>
      <c r="AM67" s="46">
        <f>HLOOKUP(TBL_CalcDarwin[[#This Row],[Fecha]],'Plantilla AEG ES'!$E$1:$HX$13,12,FALSE)</f>
        <v>7</v>
      </c>
      <c r="AN67" s="46">
        <f>HLOOKUP(TBL_CalcDarwin[[#This Row],[Fecha]],'Plantilla AEG ES'!$E$1:$HX$13,13,FALSE)</f>
        <v>1</v>
      </c>
      <c r="AO67" s="37">
        <f>TBL_CalcDarwin[[#This Row],[Lomitas - Barra A - 5.2 - Cerro]]+TBL_CalcDarwin[[#This Row],[Lomitas - Barra A - 5.2 - Medio]]+TBL_CalcDarwin[[#This Row],[Lomitas - Barra A - 5.2 - Mar]]</f>
        <v>25</v>
      </c>
      <c r="AP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67" s="37">
        <f>TBL_CalcDarwin[[#This Row],[Expansión - Barra A - 5.2 - Cerro]]+TBL_CalcDarwin[[#This Row],[Expansión - Barra A - 5.2 - Medio]]+TBL_CalcDarwin[[#This Row],[Expansión - Barra A - 5.2 - Mar]]</f>
        <v>2</v>
      </c>
      <c r="AT67" s="37">
        <f>TBL_CalcDarwin[[#This Row],[Expansión - Barra B - 5.2 - Cerro]]</f>
        <v>1</v>
      </c>
      <c r="AU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67" s="29">
        <f>TBL_CalcDarwin[[#This Row],[Expansión - Barra B - 5.2 - Cerro]]*TBL_CalcDarwin[[#This Row],[AEG 5.2 MW Cerro]]</f>
        <v>1.978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5">
        <f t="shared" si="0"/>
        <v>45586.749999999847</v>
      </c>
      <c r="C68" s="17">
        <f t="shared" si="5"/>
        <v>2.7499999999999987</v>
      </c>
      <c r="D68" s="34">
        <f>TBL_CalcDarwin[[#This Row],[Darwin PLOM
MW]]+TBL_CalcDarwin[[#This Row],[Darwin PLOME
MW]]</f>
        <v>199.93799999999999</v>
      </c>
      <c r="E68" s="34">
        <f>TBL_CalcDarwin[[#This Row],[PLOM MW TOTAL BARRA A]]+TBL_CalcDarwin[[#This Row],[PLOM MW TOTAL BARRA B]]</f>
        <v>192.61599999999999</v>
      </c>
      <c r="F68" s="34">
        <f>TBL_CalcDarwin[[#This Row],[PLOME MW TOTAL BARRA A]]+TBL_CalcDarwin[[#This Row],[PLOME MW TOTAL BARRA B]]</f>
        <v>7.3220000000000001</v>
      </c>
      <c r="G68" s="48">
        <f>'Plantilla Datos'!D73</f>
        <v>8.3000000000000007</v>
      </c>
      <c r="H68" s="48">
        <f>'Plantilla Datos'!E73</f>
        <v>10.3</v>
      </c>
      <c r="I68" s="49">
        <f>'Plantilla Datos'!F73</f>
        <v>17.2</v>
      </c>
      <c r="J68" s="47">
        <f>CEILING('Plantilla Datos'!$L$3*TBL_CalcDarwin[[#This Row],[Darwin Gusts
m/s]],0.5)</f>
        <v>7.5</v>
      </c>
      <c r="K68" s="47">
        <f>CEILING('Plantilla Datos'!$L$4*TBL_CalcDarwin[[#This Row],[Darwin Gusts
m/s]],0.5)</f>
        <v>9</v>
      </c>
      <c r="L68" s="47">
        <f>CEILING(TBL_CalcDarwin[[#This Row],[Darwin Gusts
m/s]],0.5)</f>
        <v>10.5</v>
      </c>
      <c r="M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68" s="41">
        <f>INDEX(Curva_Temp[Temp],MATCH(TBL_CalcDarwin[[#This Row],[Darwin Temp.
°C]],Curva_Temp[Temp]))</f>
        <v>15</v>
      </c>
      <c r="R68" s="41">
        <f>INDEX(Curva_Temp[Warranted Power Curve for 
1.194Kg/m3 air density '[kW']
SG 5.0-145 (AM+1, 5.2MW) AT 
90M],MATCH(TBL_CalcDarwin[[#This Row],[Darwin Temp.
°C]],Curva_Temp[Temp]))</f>
        <v>5200</v>
      </c>
      <c r="S68" s="41" cm="1">
        <f t="array" ref="S68">INDEX(Curva_Temp[Temp],MATCH(TBL_CalcDarwin[[#This Row],[Darwin Temp.
°C]],Curva_Temp[Temp])+1)</f>
        <v>20</v>
      </c>
      <c r="T68" s="41" cm="1">
        <f t="array" ref="T68">INDEX(Curva_Temp[Warranted Power Curve for 
1.194Kg/m3 air density '[kW']
SG 5.0-145 (AM+1, 5.2MW) AT 
90M],MATCH(TBL_CalcDarwin[[#This Row],[Darwin Temp.
°C]],Curva_Temp[Temp])+1)</f>
        <v>5000</v>
      </c>
      <c r="U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68" s="41">
        <f>INDEX(Curva_Temp[Temp],MATCH(TBL_CalcDarwin[[#This Row],[Darwin Temp.
°C]],Curva_Temp[Temp]))</f>
        <v>15</v>
      </c>
      <c r="Z68" s="41">
        <f>INDEX(Curva_Temp[Warranted Power Curve for 
1.194Kg/m3 air density '[kW']
SG 5.0-145 (AM 0, 5.0MW) AT 
90M],MATCH(TBL_CalcDarwin[[#This Row],[Darwin Temp.
°C]],Curva_Temp[Temp]))</f>
        <v>5000</v>
      </c>
      <c r="AA68" s="41" cm="1">
        <f t="array" ref="AA68">INDEX(Curva_Temp[Temp],MATCH(TBL_CalcDarwin[[#This Row],[Darwin Temp.
°C]],Curva_Temp[Temp])+1)</f>
        <v>20</v>
      </c>
      <c r="AB68" s="41" cm="1">
        <f t="array" ref="AB68">INDEX(Curva_Temp[Warranted Power Curve for 
1.194Kg/m3 air density '[kW']
SG 5.0-145 (AM 0, 5.0MW) AT 
90M],MATCH(TBL_CalcDarwin[[#This Row],[Darwin Temp.
°C]],Curva_Temp[Temp])+1)</f>
        <v>5000</v>
      </c>
      <c r="AC68" s="45">
        <f>HLOOKUP(TBL_CalcDarwin[[#This Row],[Fecha]],'Plantilla AEG ES'!$E$1:$HX$13,2,FALSE)</f>
        <v>5</v>
      </c>
      <c r="AD68" s="45">
        <f>HLOOKUP(TBL_CalcDarwin[[#This Row],[Fecha]],'Plantilla AEG ES'!$E$1:$HX$13,3,FALSE)</f>
        <v>8</v>
      </c>
      <c r="AE68" s="45">
        <f>HLOOKUP(TBL_CalcDarwin[[#This Row],[Fecha]],'Plantilla AEG ES'!$E$1:$HX$13,4,FALSE)</f>
        <v>12</v>
      </c>
      <c r="AF68" s="45">
        <f>HLOOKUP(TBL_CalcDarwin[[#This Row],[Fecha]],'Plantilla AEG ES'!$E$1:$HX$13,5,FALSE)</f>
        <v>1</v>
      </c>
      <c r="AG68" s="45">
        <f>HLOOKUP(TBL_CalcDarwin[[#This Row],[Fecha]],'Plantilla AEG ES'!$E$1:$HX$13,6,FALSE)</f>
        <v>1</v>
      </c>
      <c r="AH68" s="45">
        <f>HLOOKUP(TBL_CalcDarwin[[#This Row],[Fecha]],'Plantilla AEG ES'!$E$1:$HX$13,7,FALSE)</f>
        <v>0</v>
      </c>
      <c r="AI68" s="46">
        <f>HLOOKUP(TBL_CalcDarwin[[#This Row],[Fecha]],'Plantilla AEG ES'!$E$1:$HX$13,8,FALSE)</f>
        <v>0</v>
      </c>
      <c r="AJ68" s="46">
        <f>HLOOKUP(TBL_CalcDarwin[[#This Row],[Fecha]],'Plantilla AEG ES'!$E$1:$HX$13,9,FALSE)</f>
        <v>3</v>
      </c>
      <c r="AK68" s="46">
        <f>HLOOKUP(TBL_CalcDarwin[[#This Row],[Fecha]],'Plantilla AEG ES'!$E$1:$HX$13,10,FALSE)</f>
        <v>12</v>
      </c>
      <c r="AL68" s="46">
        <f>HLOOKUP(TBL_CalcDarwin[[#This Row],[Fecha]],'Plantilla AEG ES'!$E$1:$HX$13,11,FALSE)</f>
        <v>1</v>
      </c>
      <c r="AM68" s="46">
        <f>HLOOKUP(TBL_CalcDarwin[[#This Row],[Fecha]],'Plantilla AEG ES'!$E$1:$HX$13,12,FALSE)</f>
        <v>7</v>
      </c>
      <c r="AN68" s="46">
        <f>HLOOKUP(TBL_CalcDarwin[[#This Row],[Fecha]],'Plantilla AEG ES'!$E$1:$HX$13,13,FALSE)</f>
        <v>1</v>
      </c>
      <c r="AO68" s="37">
        <f>TBL_CalcDarwin[[#This Row],[Lomitas - Barra A - 5.2 - Cerro]]+TBL_CalcDarwin[[#This Row],[Lomitas - Barra A - 5.2 - Medio]]+TBL_CalcDarwin[[#This Row],[Lomitas - Barra A - 5.2 - Mar]]</f>
        <v>25</v>
      </c>
      <c r="AP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68" s="37">
        <f>TBL_CalcDarwin[[#This Row],[Expansión - Barra A - 5.2 - Cerro]]+TBL_CalcDarwin[[#This Row],[Expansión - Barra A - 5.2 - Medio]]+TBL_CalcDarwin[[#This Row],[Expansión - Barra A - 5.2 - Mar]]</f>
        <v>2</v>
      </c>
      <c r="AT68" s="37">
        <f>TBL_CalcDarwin[[#This Row],[Expansión - Barra B - 5.2 - Cerro]]</f>
        <v>1</v>
      </c>
      <c r="AU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68" s="29">
        <f>TBL_CalcDarwin[[#This Row],[Expansión - Barra B - 5.2 - Cerro]]*TBL_CalcDarwin[[#This Row],[AEG 5.2 MW Cerro]]</f>
        <v>1.978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5">
        <f t="shared" si="0"/>
        <v>45586.791666666511</v>
      </c>
      <c r="C69" s="17">
        <f t="shared" si="5"/>
        <v>2.7916666666666652</v>
      </c>
      <c r="D69" s="34">
        <f>TBL_CalcDarwin[[#This Row],[Darwin PLOM
MW]]+TBL_CalcDarwin[[#This Row],[Darwin PLOME
MW]]</f>
        <v>217.79000000000002</v>
      </c>
      <c r="E69" s="34">
        <f>TBL_CalcDarwin[[#This Row],[PLOM MW TOTAL BARRA A]]+TBL_CalcDarwin[[#This Row],[PLOM MW TOTAL BARRA B]]</f>
        <v>209.13000000000002</v>
      </c>
      <c r="F69" s="34">
        <f>TBL_CalcDarwin[[#This Row],[PLOME MW TOTAL BARRA A]]+TBL_CalcDarwin[[#This Row],[PLOME MW TOTAL BARRA B]]</f>
        <v>8.66</v>
      </c>
      <c r="G69" s="48">
        <f>'Plantilla Datos'!D74</f>
        <v>8.5</v>
      </c>
      <c r="H69" s="48">
        <f>'Plantilla Datos'!E74</f>
        <v>10.6</v>
      </c>
      <c r="I69" s="49">
        <f>'Plantilla Datos'!F74</f>
        <v>16.5</v>
      </c>
      <c r="J69" s="47">
        <f>CEILING('Plantilla Datos'!$L$3*TBL_CalcDarwin[[#This Row],[Darwin Gusts
m/s]],0.5)</f>
        <v>8</v>
      </c>
      <c r="K69" s="47">
        <f>CEILING('Plantilla Datos'!$L$4*TBL_CalcDarwin[[#This Row],[Darwin Gusts
m/s]],0.5)</f>
        <v>9.5</v>
      </c>
      <c r="L69" s="47">
        <f>CEILING(TBL_CalcDarwin[[#This Row],[Darwin Gusts
m/s]],0.5)</f>
        <v>11</v>
      </c>
      <c r="M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69" s="41">
        <f>INDEX(Curva_Temp[Temp],MATCH(TBL_CalcDarwin[[#This Row],[Darwin Temp.
°C]],Curva_Temp[Temp]))</f>
        <v>15</v>
      </c>
      <c r="R69" s="41">
        <f>INDEX(Curva_Temp[Warranted Power Curve for 
1.194Kg/m3 air density '[kW']
SG 5.0-145 (AM+1, 5.2MW) AT 
90M],MATCH(TBL_CalcDarwin[[#This Row],[Darwin Temp.
°C]],Curva_Temp[Temp]))</f>
        <v>5200</v>
      </c>
      <c r="S69" s="41" cm="1">
        <f t="array" ref="S69">INDEX(Curva_Temp[Temp],MATCH(TBL_CalcDarwin[[#This Row],[Darwin Temp.
°C]],Curva_Temp[Temp])+1)</f>
        <v>20</v>
      </c>
      <c r="T69" s="41" cm="1">
        <f t="array" ref="T69">INDEX(Curva_Temp[Warranted Power Curve for 
1.194Kg/m3 air density '[kW']
SG 5.0-145 (AM+1, 5.2MW) AT 
90M],MATCH(TBL_CalcDarwin[[#This Row],[Darwin Temp.
°C]],Curva_Temp[Temp])+1)</f>
        <v>5000</v>
      </c>
      <c r="U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69" s="41">
        <f>INDEX(Curva_Temp[Temp],MATCH(TBL_CalcDarwin[[#This Row],[Darwin Temp.
°C]],Curva_Temp[Temp]))</f>
        <v>15</v>
      </c>
      <c r="Z69" s="41">
        <f>INDEX(Curva_Temp[Warranted Power Curve for 
1.194Kg/m3 air density '[kW']
SG 5.0-145 (AM 0, 5.0MW) AT 
90M],MATCH(TBL_CalcDarwin[[#This Row],[Darwin Temp.
°C]],Curva_Temp[Temp]))</f>
        <v>5000</v>
      </c>
      <c r="AA69" s="41" cm="1">
        <f t="array" ref="AA69">INDEX(Curva_Temp[Temp],MATCH(TBL_CalcDarwin[[#This Row],[Darwin Temp.
°C]],Curva_Temp[Temp])+1)</f>
        <v>20</v>
      </c>
      <c r="AB69" s="41" cm="1">
        <f t="array" ref="AB69">INDEX(Curva_Temp[Warranted Power Curve for 
1.194Kg/m3 air density '[kW']
SG 5.0-145 (AM 0, 5.0MW) AT 
90M],MATCH(TBL_CalcDarwin[[#This Row],[Darwin Temp.
°C]],Curva_Temp[Temp])+1)</f>
        <v>5000</v>
      </c>
      <c r="AC69" s="45">
        <f>HLOOKUP(TBL_CalcDarwin[[#This Row],[Fecha]],'Plantilla AEG ES'!$E$1:$HX$13,2,FALSE)</f>
        <v>5</v>
      </c>
      <c r="AD69" s="45">
        <f>HLOOKUP(TBL_CalcDarwin[[#This Row],[Fecha]],'Plantilla AEG ES'!$E$1:$HX$13,3,FALSE)</f>
        <v>8</v>
      </c>
      <c r="AE69" s="45">
        <f>HLOOKUP(TBL_CalcDarwin[[#This Row],[Fecha]],'Plantilla AEG ES'!$E$1:$HX$13,4,FALSE)</f>
        <v>12</v>
      </c>
      <c r="AF69" s="45">
        <f>HLOOKUP(TBL_CalcDarwin[[#This Row],[Fecha]],'Plantilla AEG ES'!$E$1:$HX$13,5,FALSE)</f>
        <v>1</v>
      </c>
      <c r="AG69" s="45">
        <f>HLOOKUP(TBL_CalcDarwin[[#This Row],[Fecha]],'Plantilla AEG ES'!$E$1:$HX$13,6,FALSE)</f>
        <v>1</v>
      </c>
      <c r="AH69" s="45">
        <f>HLOOKUP(TBL_CalcDarwin[[#This Row],[Fecha]],'Plantilla AEG ES'!$E$1:$HX$13,7,FALSE)</f>
        <v>0</v>
      </c>
      <c r="AI69" s="46">
        <f>HLOOKUP(TBL_CalcDarwin[[#This Row],[Fecha]],'Plantilla AEG ES'!$E$1:$HX$13,8,FALSE)</f>
        <v>0</v>
      </c>
      <c r="AJ69" s="46">
        <f>HLOOKUP(TBL_CalcDarwin[[#This Row],[Fecha]],'Plantilla AEG ES'!$E$1:$HX$13,9,FALSE)</f>
        <v>3</v>
      </c>
      <c r="AK69" s="46">
        <f>HLOOKUP(TBL_CalcDarwin[[#This Row],[Fecha]],'Plantilla AEG ES'!$E$1:$HX$13,10,FALSE)</f>
        <v>12</v>
      </c>
      <c r="AL69" s="46">
        <f>HLOOKUP(TBL_CalcDarwin[[#This Row],[Fecha]],'Plantilla AEG ES'!$E$1:$HX$13,11,FALSE)</f>
        <v>1</v>
      </c>
      <c r="AM69" s="46">
        <f>HLOOKUP(TBL_CalcDarwin[[#This Row],[Fecha]],'Plantilla AEG ES'!$E$1:$HX$13,12,FALSE)</f>
        <v>7</v>
      </c>
      <c r="AN69" s="46">
        <f>HLOOKUP(TBL_CalcDarwin[[#This Row],[Fecha]],'Plantilla AEG ES'!$E$1:$HX$13,13,FALSE)</f>
        <v>1</v>
      </c>
      <c r="AO69" s="37">
        <f>TBL_CalcDarwin[[#This Row],[Lomitas - Barra A - 5.2 - Cerro]]+TBL_CalcDarwin[[#This Row],[Lomitas - Barra A - 5.2 - Medio]]+TBL_CalcDarwin[[#This Row],[Lomitas - Barra A - 5.2 - Mar]]</f>
        <v>25</v>
      </c>
      <c r="AP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69" s="37">
        <f>TBL_CalcDarwin[[#This Row],[Expansión - Barra A - 5.2 - Cerro]]+TBL_CalcDarwin[[#This Row],[Expansión - Barra A - 5.2 - Medio]]+TBL_CalcDarwin[[#This Row],[Expansión - Barra A - 5.2 - Mar]]</f>
        <v>2</v>
      </c>
      <c r="AT69" s="37">
        <f>TBL_CalcDarwin[[#This Row],[Expansión - Barra B - 5.2 - Cerro]]</f>
        <v>1</v>
      </c>
      <c r="AU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69" s="29">
        <f>TBL_CalcDarwin[[#This Row],[Expansión - Barra B - 5.2 - Cerro]]*TBL_CalcDarwin[[#This Row],[AEG 5.2 MW Cerro]]</f>
        <v>2.4089999999999998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5">
        <f t="shared" ref="B70:B133" si="6">B69+TIME(1,0,0)</f>
        <v>45586.833333333176</v>
      </c>
      <c r="C70" s="17">
        <f t="shared" si="5"/>
        <v>2.8333333333333317</v>
      </c>
      <c r="D70" s="34">
        <f>TBL_CalcDarwin[[#This Row],[Darwin PLOM
MW]]+TBL_CalcDarwin[[#This Row],[Darwin PLOME
MW]]</f>
        <v>203.38</v>
      </c>
      <c r="E70" s="34">
        <f>TBL_CalcDarwin[[#This Row],[PLOM MW TOTAL BARRA A]]+TBL_CalcDarwin[[#This Row],[PLOM MW TOTAL BARRA B]]</f>
        <v>195.196</v>
      </c>
      <c r="F70" s="34">
        <f>TBL_CalcDarwin[[#This Row],[PLOME MW TOTAL BARRA A]]+TBL_CalcDarwin[[#This Row],[PLOME MW TOTAL BARRA B]]</f>
        <v>8.1840000000000011</v>
      </c>
      <c r="G70" s="48">
        <f>'Plantilla Datos'!D75</f>
        <v>8.3000000000000007</v>
      </c>
      <c r="H70" s="48">
        <f>'Plantilla Datos'!E75</f>
        <v>10.4</v>
      </c>
      <c r="I70" s="49">
        <f>'Plantilla Datos'!F75</f>
        <v>16.5</v>
      </c>
      <c r="J70" s="47">
        <f>CEILING('Plantilla Datos'!$L$3*TBL_CalcDarwin[[#This Row],[Darwin Gusts
m/s]],0.5)</f>
        <v>8</v>
      </c>
      <c r="K70" s="47">
        <f>CEILING('Plantilla Datos'!$L$4*TBL_CalcDarwin[[#This Row],[Darwin Gusts
m/s]],0.5)</f>
        <v>9</v>
      </c>
      <c r="L70" s="47">
        <f>CEILING(TBL_CalcDarwin[[#This Row],[Darwin Gusts
m/s]],0.5)</f>
        <v>10.5</v>
      </c>
      <c r="M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70" s="41">
        <f>INDEX(Curva_Temp[Temp],MATCH(TBL_CalcDarwin[[#This Row],[Darwin Temp.
°C]],Curva_Temp[Temp]))</f>
        <v>15</v>
      </c>
      <c r="R70" s="41">
        <f>INDEX(Curva_Temp[Warranted Power Curve for 
1.194Kg/m3 air density '[kW']
SG 5.0-145 (AM+1, 5.2MW) AT 
90M],MATCH(TBL_CalcDarwin[[#This Row],[Darwin Temp.
°C]],Curva_Temp[Temp]))</f>
        <v>5200</v>
      </c>
      <c r="S70" s="41" cm="1">
        <f t="array" ref="S70">INDEX(Curva_Temp[Temp],MATCH(TBL_CalcDarwin[[#This Row],[Darwin Temp.
°C]],Curva_Temp[Temp])+1)</f>
        <v>20</v>
      </c>
      <c r="T70" s="41" cm="1">
        <f t="array" ref="T70">INDEX(Curva_Temp[Warranted Power Curve for 
1.194Kg/m3 air density '[kW']
SG 5.0-145 (AM+1, 5.2MW) AT 
90M],MATCH(TBL_CalcDarwin[[#This Row],[Darwin Temp.
°C]],Curva_Temp[Temp])+1)</f>
        <v>5000</v>
      </c>
      <c r="U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70" s="41">
        <f>INDEX(Curva_Temp[Temp],MATCH(TBL_CalcDarwin[[#This Row],[Darwin Temp.
°C]],Curva_Temp[Temp]))</f>
        <v>15</v>
      </c>
      <c r="Z70" s="41">
        <f>INDEX(Curva_Temp[Warranted Power Curve for 
1.194Kg/m3 air density '[kW']
SG 5.0-145 (AM 0, 5.0MW) AT 
90M],MATCH(TBL_CalcDarwin[[#This Row],[Darwin Temp.
°C]],Curva_Temp[Temp]))</f>
        <v>5000</v>
      </c>
      <c r="AA70" s="41" cm="1">
        <f t="array" ref="AA70">INDEX(Curva_Temp[Temp],MATCH(TBL_CalcDarwin[[#This Row],[Darwin Temp.
°C]],Curva_Temp[Temp])+1)</f>
        <v>20</v>
      </c>
      <c r="AB70" s="41" cm="1">
        <f t="array" ref="AB70">INDEX(Curva_Temp[Warranted Power Curve for 
1.194Kg/m3 air density '[kW']
SG 5.0-145 (AM 0, 5.0MW) AT 
90M],MATCH(TBL_CalcDarwin[[#This Row],[Darwin Temp.
°C]],Curva_Temp[Temp])+1)</f>
        <v>5000</v>
      </c>
      <c r="AC70" s="45">
        <f>HLOOKUP(TBL_CalcDarwin[[#This Row],[Fecha]],'Plantilla AEG ES'!$E$1:$HX$13,2,FALSE)</f>
        <v>5</v>
      </c>
      <c r="AD70" s="45">
        <f>HLOOKUP(TBL_CalcDarwin[[#This Row],[Fecha]],'Plantilla AEG ES'!$E$1:$HX$13,3,FALSE)</f>
        <v>8</v>
      </c>
      <c r="AE70" s="45">
        <f>HLOOKUP(TBL_CalcDarwin[[#This Row],[Fecha]],'Plantilla AEG ES'!$E$1:$HX$13,4,FALSE)</f>
        <v>12</v>
      </c>
      <c r="AF70" s="45">
        <f>HLOOKUP(TBL_CalcDarwin[[#This Row],[Fecha]],'Plantilla AEG ES'!$E$1:$HX$13,5,FALSE)</f>
        <v>1</v>
      </c>
      <c r="AG70" s="45">
        <f>HLOOKUP(TBL_CalcDarwin[[#This Row],[Fecha]],'Plantilla AEG ES'!$E$1:$HX$13,6,FALSE)</f>
        <v>1</v>
      </c>
      <c r="AH70" s="45">
        <f>HLOOKUP(TBL_CalcDarwin[[#This Row],[Fecha]],'Plantilla AEG ES'!$E$1:$HX$13,7,FALSE)</f>
        <v>0</v>
      </c>
      <c r="AI70" s="46">
        <f>HLOOKUP(TBL_CalcDarwin[[#This Row],[Fecha]],'Plantilla AEG ES'!$E$1:$HX$13,8,FALSE)</f>
        <v>0</v>
      </c>
      <c r="AJ70" s="46">
        <f>HLOOKUP(TBL_CalcDarwin[[#This Row],[Fecha]],'Plantilla AEG ES'!$E$1:$HX$13,9,FALSE)</f>
        <v>3</v>
      </c>
      <c r="AK70" s="46">
        <f>HLOOKUP(TBL_CalcDarwin[[#This Row],[Fecha]],'Plantilla AEG ES'!$E$1:$HX$13,10,FALSE)</f>
        <v>12</v>
      </c>
      <c r="AL70" s="46">
        <f>HLOOKUP(TBL_CalcDarwin[[#This Row],[Fecha]],'Plantilla AEG ES'!$E$1:$HX$13,11,FALSE)</f>
        <v>1</v>
      </c>
      <c r="AM70" s="46">
        <f>HLOOKUP(TBL_CalcDarwin[[#This Row],[Fecha]],'Plantilla AEG ES'!$E$1:$HX$13,12,FALSE)</f>
        <v>7</v>
      </c>
      <c r="AN70" s="46">
        <f>HLOOKUP(TBL_CalcDarwin[[#This Row],[Fecha]],'Plantilla AEG ES'!$E$1:$HX$13,13,FALSE)</f>
        <v>1</v>
      </c>
      <c r="AO70" s="37">
        <f>TBL_CalcDarwin[[#This Row],[Lomitas - Barra A - 5.2 - Cerro]]+TBL_CalcDarwin[[#This Row],[Lomitas - Barra A - 5.2 - Medio]]+TBL_CalcDarwin[[#This Row],[Lomitas - Barra A - 5.2 - Mar]]</f>
        <v>25</v>
      </c>
      <c r="AP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70" s="37">
        <f>TBL_CalcDarwin[[#This Row],[Expansión - Barra A - 5.2 - Cerro]]+TBL_CalcDarwin[[#This Row],[Expansión - Barra A - 5.2 - Medio]]+TBL_CalcDarwin[[#This Row],[Expansión - Barra A - 5.2 - Mar]]</f>
        <v>2</v>
      </c>
      <c r="AT70" s="37">
        <f>TBL_CalcDarwin[[#This Row],[Expansión - Barra B - 5.2 - Cerro]]</f>
        <v>1</v>
      </c>
      <c r="AU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70" s="29">
        <f>TBL_CalcDarwin[[#This Row],[Expansión - Barra B - 5.2 - Cerro]]*TBL_CalcDarwin[[#This Row],[AEG 5.2 MW Cerro]]</f>
        <v>2.4089999999999998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5">
        <f t="shared" si="6"/>
        <v>45586.87499999984</v>
      </c>
      <c r="C71" s="17">
        <f>C70+TIME(1,0,0)</f>
        <v>2.8749999999999982</v>
      </c>
      <c r="D71" s="34">
        <f>TBL_CalcDarwin[[#This Row],[Darwin PLOM
MW]]+TBL_CalcDarwin[[#This Row],[Darwin PLOME
MW]]</f>
        <v>199.93799999999999</v>
      </c>
      <c r="E71" s="34">
        <f>TBL_CalcDarwin[[#This Row],[PLOM MW TOTAL BARRA A]]+TBL_CalcDarwin[[#This Row],[PLOM MW TOTAL BARRA B]]</f>
        <v>192.61599999999999</v>
      </c>
      <c r="F71" s="34">
        <f>TBL_CalcDarwin[[#This Row],[PLOME MW TOTAL BARRA A]]+TBL_CalcDarwin[[#This Row],[PLOME MW TOTAL BARRA B]]</f>
        <v>7.3220000000000001</v>
      </c>
      <c r="G71" s="48">
        <f>'Plantilla Datos'!D76</f>
        <v>8.1</v>
      </c>
      <c r="H71" s="48">
        <f>'Plantilla Datos'!E76</f>
        <v>10.199999999999999</v>
      </c>
      <c r="I71" s="49">
        <f>'Plantilla Datos'!F76</f>
        <v>16.5</v>
      </c>
      <c r="J71" s="47">
        <f>CEILING('Plantilla Datos'!$L$3*TBL_CalcDarwin[[#This Row],[Darwin Gusts
m/s]],0.5)</f>
        <v>7.5</v>
      </c>
      <c r="K71" s="47">
        <f>CEILING('Plantilla Datos'!$L$4*TBL_CalcDarwin[[#This Row],[Darwin Gusts
m/s]],0.5)</f>
        <v>9</v>
      </c>
      <c r="L71" s="47">
        <f>CEILING(TBL_CalcDarwin[[#This Row],[Darwin Gusts
m/s]],0.5)</f>
        <v>10.5</v>
      </c>
      <c r="M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71" s="41">
        <f>INDEX(Curva_Temp[Temp],MATCH(TBL_CalcDarwin[[#This Row],[Darwin Temp.
°C]],Curva_Temp[Temp]))</f>
        <v>15</v>
      </c>
      <c r="R71" s="41">
        <f>INDEX(Curva_Temp[Warranted Power Curve for 
1.194Kg/m3 air density '[kW']
SG 5.0-145 (AM+1, 5.2MW) AT 
90M],MATCH(TBL_CalcDarwin[[#This Row],[Darwin Temp.
°C]],Curva_Temp[Temp]))</f>
        <v>5200</v>
      </c>
      <c r="S71" s="41" cm="1">
        <f t="array" ref="S71">INDEX(Curva_Temp[Temp],MATCH(TBL_CalcDarwin[[#This Row],[Darwin Temp.
°C]],Curva_Temp[Temp])+1)</f>
        <v>20</v>
      </c>
      <c r="T71" s="41" cm="1">
        <f t="array" ref="T71">INDEX(Curva_Temp[Warranted Power Curve for 
1.194Kg/m3 air density '[kW']
SG 5.0-145 (AM+1, 5.2MW) AT 
90M],MATCH(TBL_CalcDarwin[[#This Row],[Darwin Temp.
°C]],Curva_Temp[Temp])+1)</f>
        <v>5000</v>
      </c>
      <c r="U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71" s="41">
        <f>INDEX(Curva_Temp[Temp],MATCH(TBL_CalcDarwin[[#This Row],[Darwin Temp.
°C]],Curva_Temp[Temp]))</f>
        <v>15</v>
      </c>
      <c r="Z71" s="41">
        <f>INDEX(Curva_Temp[Warranted Power Curve for 
1.194Kg/m3 air density '[kW']
SG 5.0-145 (AM 0, 5.0MW) AT 
90M],MATCH(TBL_CalcDarwin[[#This Row],[Darwin Temp.
°C]],Curva_Temp[Temp]))</f>
        <v>5000</v>
      </c>
      <c r="AA71" s="41" cm="1">
        <f t="array" ref="AA71">INDEX(Curva_Temp[Temp],MATCH(TBL_CalcDarwin[[#This Row],[Darwin Temp.
°C]],Curva_Temp[Temp])+1)</f>
        <v>20</v>
      </c>
      <c r="AB71" s="41" cm="1">
        <f t="array" ref="AB71">INDEX(Curva_Temp[Warranted Power Curve for 
1.194Kg/m3 air density '[kW']
SG 5.0-145 (AM 0, 5.0MW) AT 
90M],MATCH(TBL_CalcDarwin[[#This Row],[Darwin Temp.
°C]],Curva_Temp[Temp])+1)</f>
        <v>5000</v>
      </c>
      <c r="AC71" s="45">
        <f>HLOOKUP(TBL_CalcDarwin[[#This Row],[Fecha]],'Plantilla AEG ES'!$E$1:$HX$13,2,FALSE)</f>
        <v>5</v>
      </c>
      <c r="AD71" s="45">
        <f>HLOOKUP(TBL_CalcDarwin[[#This Row],[Fecha]],'Plantilla AEG ES'!$E$1:$HX$13,3,FALSE)</f>
        <v>8</v>
      </c>
      <c r="AE71" s="45">
        <f>HLOOKUP(TBL_CalcDarwin[[#This Row],[Fecha]],'Plantilla AEG ES'!$E$1:$HX$13,4,FALSE)</f>
        <v>12</v>
      </c>
      <c r="AF71" s="45">
        <f>HLOOKUP(TBL_CalcDarwin[[#This Row],[Fecha]],'Plantilla AEG ES'!$E$1:$HX$13,5,FALSE)</f>
        <v>1</v>
      </c>
      <c r="AG71" s="45">
        <f>HLOOKUP(TBL_CalcDarwin[[#This Row],[Fecha]],'Plantilla AEG ES'!$E$1:$HX$13,6,FALSE)</f>
        <v>1</v>
      </c>
      <c r="AH71" s="45">
        <f>HLOOKUP(TBL_CalcDarwin[[#This Row],[Fecha]],'Plantilla AEG ES'!$E$1:$HX$13,7,FALSE)</f>
        <v>0</v>
      </c>
      <c r="AI71" s="46">
        <f>HLOOKUP(TBL_CalcDarwin[[#This Row],[Fecha]],'Plantilla AEG ES'!$E$1:$HX$13,8,FALSE)</f>
        <v>0</v>
      </c>
      <c r="AJ71" s="46">
        <f>HLOOKUP(TBL_CalcDarwin[[#This Row],[Fecha]],'Plantilla AEG ES'!$E$1:$HX$13,9,FALSE)</f>
        <v>3</v>
      </c>
      <c r="AK71" s="46">
        <f>HLOOKUP(TBL_CalcDarwin[[#This Row],[Fecha]],'Plantilla AEG ES'!$E$1:$HX$13,10,FALSE)</f>
        <v>12</v>
      </c>
      <c r="AL71" s="46">
        <f>HLOOKUP(TBL_CalcDarwin[[#This Row],[Fecha]],'Plantilla AEG ES'!$E$1:$HX$13,11,FALSE)</f>
        <v>1</v>
      </c>
      <c r="AM71" s="46">
        <f>HLOOKUP(TBL_CalcDarwin[[#This Row],[Fecha]],'Plantilla AEG ES'!$E$1:$HX$13,12,FALSE)</f>
        <v>7</v>
      </c>
      <c r="AN71" s="46">
        <f>HLOOKUP(TBL_CalcDarwin[[#This Row],[Fecha]],'Plantilla AEG ES'!$E$1:$HX$13,13,FALSE)</f>
        <v>1</v>
      </c>
      <c r="AO71" s="37">
        <f>TBL_CalcDarwin[[#This Row],[Lomitas - Barra A - 5.2 - Cerro]]+TBL_CalcDarwin[[#This Row],[Lomitas - Barra A - 5.2 - Medio]]+TBL_CalcDarwin[[#This Row],[Lomitas - Barra A - 5.2 - Mar]]</f>
        <v>25</v>
      </c>
      <c r="AP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71" s="37">
        <f>TBL_CalcDarwin[[#This Row],[Expansión - Barra A - 5.2 - Cerro]]+TBL_CalcDarwin[[#This Row],[Expansión - Barra A - 5.2 - Medio]]+TBL_CalcDarwin[[#This Row],[Expansión - Barra A - 5.2 - Mar]]</f>
        <v>2</v>
      </c>
      <c r="AT71" s="37">
        <f>TBL_CalcDarwin[[#This Row],[Expansión - Barra B - 5.2 - Cerro]]</f>
        <v>1</v>
      </c>
      <c r="AU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71" s="29">
        <f>TBL_CalcDarwin[[#This Row],[Expansión - Barra B - 5.2 - Cerro]]*TBL_CalcDarwin[[#This Row],[AEG 5.2 MW Cerro]]</f>
        <v>1.978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5">
        <f t="shared" si="6"/>
        <v>45586.916666666504</v>
      </c>
      <c r="C72" s="17">
        <f t="shared" ref="C72:C76" si="7">C71+TIME(1,0,0)</f>
        <v>2.9166666666666647</v>
      </c>
      <c r="D72" s="34">
        <f>TBL_CalcDarwin[[#This Row],[Darwin PLOM
MW]]+TBL_CalcDarwin[[#This Row],[Darwin PLOME
MW]]</f>
        <v>188.511</v>
      </c>
      <c r="E72" s="34">
        <f>TBL_CalcDarwin[[#This Row],[PLOM MW TOTAL BARRA A]]+TBL_CalcDarwin[[#This Row],[PLOM MW TOTAL BARRA B]]</f>
        <v>181.18899999999999</v>
      </c>
      <c r="F72" s="34">
        <f>TBL_CalcDarwin[[#This Row],[PLOME MW TOTAL BARRA A]]+TBL_CalcDarwin[[#This Row],[PLOME MW TOTAL BARRA B]]</f>
        <v>7.3220000000000001</v>
      </c>
      <c r="G72" s="48">
        <f>'Plantilla Datos'!D77</f>
        <v>8</v>
      </c>
      <c r="H72" s="48">
        <f>'Plantilla Datos'!E77</f>
        <v>10</v>
      </c>
      <c r="I72" s="49">
        <f>'Plantilla Datos'!F77</f>
        <v>16.5</v>
      </c>
      <c r="J72" s="47">
        <f>CEILING('Plantilla Datos'!$L$3*TBL_CalcDarwin[[#This Row],[Darwin Gusts
m/s]],0.5)</f>
        <v>7.5</v>
      </c>
      <c r="K72" s="47">
        <f>CEILING('Plantilla Datos'!$L$4*TBL_CalcDarwin[[#This Row],[Darwin Gusts
m/s]],0.5)</f>
        <v>9</v>
      </c>
      <c r="L72" s="47">
        <f>CEILING(TBL_CalcDarwin[[#This Row],[Darwin Gusts
m/s]],0.5)</f>
        <v>10</v>
      </c>
      <c r="M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72" s="41">
        <f>INDEX(Curva_Temp[Temp],MATCH(TBL_CalcDarwin[[#This Row],[Darwin Temp.
°C]],Curva_Temp[Temp]))</f>
        <v>15</v>
      </c>
      <c r="R72" s="41">
        <f>INDEX(Curva_Temp[Warranted Power Curve for 
1.194Kg/m3 air density '[kW']
SG 5.0-145 (AM+1, 5.2MW) AT 
90M],MATCH(TBL_CalcDarwin[[#This Row],[Darwin Temp.
°C]],Curva_Temp[Temp]))</f>
        <v>5200</v>
      </c>
      <c r="S72" s="41" cm="1">
        <f t="array" ref="S72">INDEX(Curva_Temp[Temp],MATCH(TBL_CalcDarwin[[#This Row],[Darwin Temp.
°C]],Curva_Temp[Temp])+1)</f>
        <v>20</v>
      </c>
      <c r="T72" s="41" cm="1">
        <f t="array" ref="T72">INDEX(Curva_Temp[Warranted Power Curve for 
1.194Kg/m3 air density '[kW']
SG 5.0-145 (AM+1, 5.2MW) AT 
90M],MATCH(TBL_CalcDarwin[[#This Row],[Darwin Temp.
°C]],Curva_Temp[Temp])+1)</f>
        <v>5000</v>
      </c>
      <c r="U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72" s="41">
        <f>INDEX(Curva_Temp[Temp],MATCH(TBL_CalcDarwin[[#This Row],[Darwin Temp.
°C]],Curva_Temp[Temp]))</f>
        <v>15</v>
      </c>
      <c r="Z72" s="41">
        <f>INDEX(Curva_Temp[Warranted Power Curve for 
1.194Kg/m3 air density '[kW']
SG 5.0-145 (AM 0, 5.0MW) AT 
90M],MATCH(TBL_CalcDarwin[[#This Row],[Darwin Temp.
°C]],Curva_Temp[Temp]))</f>
        <v>5000</v>
      </c>
      <c r="AA72" s="41" cm="1">
        <f t="array" ref="AA72">INDEX(Curva_Temp[Temp],MATCH(TBL_CalcDarwin[[#This Row],[Darwin Temp.
°C]],Curva_Temp[Temp])+1)</f>
        <v>20</v>
      </c>
      <c r="AB72" s="41" cm="1">
        <f t="array" ref="AB72">INDEX(Curva_Temp[Warranted Power Curve for 
1.194Kg/m3 air density '[kW']
SG 5.0-145 (AM 0, 5.0MW) AT 
90M],MATCH(TBL_CalcDarwin[[#This Row],[Darwin Temp.
°C]],Curva_Temp[Temp])+1)</f>
        <v>5000</v>
      </c>
      <c r="AC72" s="45">
        <f>HLOOKUP(TBL_CalcDarwin[[#This Row],[Fecha]],'Plantilla AEG ES'!$E$1:$HX$13,2,FALSE)</f>
        <v>5</v>
      </c>
      <c r="AD72" s="45">
        <f>HLOOKUP(TBL_CalcDarwin[[#This Row],[Fecha]],'Plantilla AEG ES'!$E$1:$HX$13,3,FALSE)</f>
        <v>8</v>
      </c>
      <c r="AE72" s="45">
        <f>HLOOKUP(TBL_CalcDarwin[[#This Row],[Fecha]],'Plantilla AEG ES'!$E$1:$HX$13,4,FALSE)</f>
        <v>12</v>
      </c>
      <c r="AF72" s="45">
        <f>HLOOKUP(TBL_CalcDarwin[[#This Row],[Fecha]],'Plantilla AEG ES'!$E$1:$HX$13,5,FALSE)</f>
        <v>1</v>
      </c>
      <c r="AG72" s="45">
        <f>HLOOKUP(TBL_CalcDarwin[[#This Row],[Fecha]],'Plantilla AEG ES'!$E$1:$HX$13,6,FALSE)</f>
        <v>1</v>
      </c>
      <c r="AH72" s="45">
        <f>HLOOKUP(TBL_CalcDarwin[[#This Row],[Fecha]],'Plantilla AEG ES'!$E$1:$HX$13,7,FALSE)</f>
        <v>0</v>
      </c>
      <c r="AI72" s="46">
        <f>HLOOKUP(TBL_CalcDarwin[[#This Row],[Fecha]],'Plantilla AEG ES'!$E$1:$HX$13,8,FALSE)</f>
        <v>0</v>
      </c>
      <c r="AJ72" s="46">
        <f>HLOOKUP(TBL_CalcDarwin[[#This Row],[Fecha]],'Plantilla AEG ES'!$E$1:$HX$13,9,FALSE)</f>
        <v>3</v>
      </c>
      <c r="AK72" s="46">
        <f>HLOOKUP(TBL_CalcDarwin[[#This Row],[Fecha]],'Plantilla AEG ES'!$E$1:$HX$13,10,FALSE)</f>
        <v>12</v>
      </c>
      <c r="AL72" s="46">
        <f>HLOOKUP(TBL_CalcDarwin[[#This Row],[Fecha]],'Plantilla AEG ES'!$E$1:$HX$13,11,FALSE)</f>
        <v>1</v>
      </c>
      <c r="AM72" s="46">
        <f>HLOOKUP(TBL_CalcDarwin[[#This Row],[Fecha]],'Plantilla AEG ES'!$E$1:$HX$13,12,FALSE)</f>
        <v>7</v>
      </c>
      <c r="AN72" s="46">
        <f>HLOOKUP(TBL_CalcDarwin[[#This Row],[Fecha]],'Plantilla AEG ES'!$E$1:$HX$13,13,FALSE)</f>
        <v>1</v>
      </c>
      <c r="AO72" s="37">
        <f>TBL_CalcDarwin[[#This Row],[Lomitas - Barra A - 5.2 - Cerro]]+TBL_CalcDarwin[[#This Row],[Lomitas - Barra A - 5.2 - Medio]]+TBL_CalcDarwin[[#This Row],[Lomitas - Barra A - 5.2 - Mar]]</f>
        <v>25</v>
      </c>
      <c r="AP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72" s="37">
        <f>TBL_CalcDarwin[[#This Row],[Expansión - Barra A - 5.2 - Cerro]]+TBL_CalcDarwin[[#This Row],[Expansión - Barra A - 5.2 - Medio]]+TBL_CalcDarwin[[#This Row],[Expansión - Barra A - 5.2 - Mar]]</f>
        <v>2</v>
      </c>
      <c r="AT72" s="37">
        <f>TBL_CalcDarwin[[#This Row],[Expansión - Barra B - 5.2 - Cerro]]</f>
        <v>1</v>
      </c>
      <c r="AU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72" s="29">
        <f>TBL_CalcDarwin[[#This Row],[Expansión - Barra B - 5.2 - Cerro]]*TBL_CalcDarwin[[#This Row],[AEG 5.2 MW Cerro]]</f>
        <v>1.978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5">
        <f t="shared" si="6"/>
        <v>45586.958333333168</v>
      </c>
      <c r="C73" s="17">
        <f t="shared" si="7"/>
        <v>2.9583333333333313</v>
      </c>
      <c r="D73" s="34">
        <f>TBL_CalcDarwin[[#This Row],[Darwin PLOM
MW]]+TBL_CalcDarwin[[#This Row],[Darwin PLOME
MW]]</f>
        <v>143.17100000000002</v>
      </c>
      <c r="E73" s="34">
        <f>TBL_CalcDarwin[[#This Row],[PLOM MW TOTAL BARRA A]]+TBL_CalcDarwin[[#This Row],[PLOM MW TOTAL BARRA B]]</f>
        <v>138.23000000000002</v>
      </c>
      <c r="F73" s="34">
        <f>TBL_CalcDarwin[[#This Row],[PLOME MW TOTAL BARRA A]]+TBL_CalcDarwin[[#This Row],[PLOME MW TOTAL BARRA B]]</f>
        <v>4.9409999999999998</v>
      </c>
      <c r="G73" s="48">
        <f>'Plantilla Datos'!D78</f>
        <v>7.2</v>
      </c>
      <c r="H73" s="48">
        <f>'Plantilla Datos'!E78</f>
        <v>9</v>
      </c>
      <c r="I73" s="49">
        <f>'Plantilla Datos'!F78</f>
        <v>16.7</v>
      </c>
      <c r="J73" s="47">
        <f>CEILING('Plantilla Datos'!$L$3*TBL_CalcDarwin[[#This Row],[Darwin Gusts
m/s]],0.5)</f>
        <v>6.5</v>
      </c>
      <c r="K73" s="47">
        <f>CEILING('Plantilla Datos'!$L$4*TBL_CalcDarwin[[#This Row],[Darwin Gusts
m/s]],0.5)</f>
        <v>8</v>
      </c>
      <c r="L73" s="47">
        <f>CEILING(TBL_CalcDarwin[[#This Row],[Darwin Gusts
m/s]],0.5)</f>
        <v>9</v>
      </c>
      <c r="M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73" s="41">
        <f>INDEX(Curva_Temp[Temp],MATCH(TBL_CalcDarwin[[#This Row],[Darwin Temp.
°C]],Curva_Temp[Temp]))</f>
        <v>15</v>
      </c>
      <c r="R73" s="41">
        <f>INDEX(Curva_Temp[Warranted Power Curve for 
1.194Kg/m3 air density '[kW']
SG 5.0-145 (AM+1, 5.2MW) AT 
90M],MATCH(TBL_CalcDarwin[[#This Row],[Darwin Temp.
°C]],Curva_Temp[Temp]))</f>
        <v>5200</v>
      </c>
      <c r="S73" s="41" cm="1">
        <f t="array" ref="S73">INDEX(Curva_Temp[Temp],MATCH(TBL_CalcDarwin[[#This Row],[Darwin Temp.
°C]],Curva_Temp[Temp])+1)</f>
        <v>20</v>
      </c>
      <c r="T73" s="41" cm="1">
        <f t="array" ref="T73">INDEX(Curva_Temp[Warranted Power Curve for 
1.194Kg/m3 air density '[kW']
SG 5.0-145 (AM+1, 5.2MW) AT 
90M],MATCH(TBL_CalcDarwin[[#This Row],[Darwin Temp.
°C]],Curva_Temp[Temp])+1)</f>
        <v>5000</v>
      </c>
      <c r="U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73" s="41">
        <f>INDEX(Curva_Temp[Temp],MATCH(TBL_CalcDarwin[[#This Row],[Darwin Temp.
°C]],Curva_Temp[Temp]))</f>
        <v>15</v>
      </c>
      <c r="Z73" s="41">
        <f>INDEX(Curva_Temp[Warranted Power Curve for 
1.194Kg/m3 air density '[kW']
SG 5.0-145 (AM 0, 5.0MW) AT 
90M],MATCH(TBL_CalcDarwin[[#This Row],[Darwin Temp.
°C]],Curva_Temp[Temp]))</f>
        <v>5000</v>
      </c>
      <c r="AA73" s="41" cm="1">
        <f t="array" ref="AA73">INDEX(Curva_Temp[Temp],MATCH(TBL_CalcDarwin[[#This Row],[Darwin Temp.
°C]],Curva_Temp[Temp])+1)</f>
        <v>20</v>
      </c>
      <c r="AB73" s="41" cm="1">
        <f t="array" ref="AB73">INDEX(Curva_Temp[Warranted Power Curve for 
1.194Kg/m3 air density '[kW']
SG 5.0-145 (AM 0, 5.0MW) AT 
90M],MATCH(TBL_CalcDarwin[[#This Row],[Darwin Temp.
°C]],Curva_Temp[Temp])+1)</f>
        <v>5000</v>
      </c>
      <c r="AC73" s="45">
        <f>HLOOKUP(TBL_CalcDarwin[[#This Row],[Fecha]],'Plantilla AEG ES'!$E$1:$HX$13,2,FALSE)</f>
        <v>5</v>
      </c>
      <c r="AD73" s="45">
        <f>HLOOKUP(TBL_CalcDarwin[[#This Row],[Fecha]],'Plantilla AEG ES'!$E$1:$HX$13,3,FALSE)</f>
        <v>8</v>
      </c>
      <c r="AE73" s="45">
        <f>HLOOKUP(TBL_CalcDarwin[[#This Row],[Fecha]],'Plantilla AEG ES'!$E$1:$HX$13,4,FALSE)</f>
        <v>12</v>
      </c>
      <c r="AF73" s="45">
        <f>HLOOKUP(TBL_CalcDarwin[[#This Row],[Fecha]],'Plantilla AEG ES'!$E$1:$HX$13,5,FALSE)</f>
        <v>1</v>
      </c>
      <c r="AG73" s="45">
        <f>HLOOKUP(TBL_CalcDarwin[[#This Row],[Fecha]],'Plantilla AEG ES'!$E$1:$HX$13,6,FALSE)</f>
        <v>1</v>
      </c>
      <c r="AH73" s="45">
        <f>HLOOKUP(TBL_CalcDarwin[[#This Row],[Fecha]],'Plantilla AEG ES'!$E$1:$HX$13,7,FALSE)</f>
        <v>0</v>
      </c>
      <c r="AI73" s="46">
        <f>HLOOKUP(TBL_CalcDarwin[[#This Row],[Fecha]],'Plantilla AEG ES'!$E$1:$HX$13,8,FALSE)</f>
        <v>0</v>
      </c>
      <c r="AJ73" s="46">
        <f>HLOOKUP(TBL_CalcDarwin[[#This Row],[Fecha]],'Plantilla AEG ES'!$E$1:$HX$13,9,FALSE)</f>
        <v>3</v>
      </c>
      <c r="AK73" s="46">
        <f>HLOOKUP(TBL_CalcDarwin[[#This Row],[Fecha]],'Plantilla AEG ES'!$E$1:$HX$13,10,FALSE)</f>
        <v>12</v>
      </c>
      <c r="AL73" s="46">
        <f>HLOOKUP(TBL_CalcDarwin[[#This Row],[Fecha]],'Plantilla AEG ES'!$E$1:$HX$13,11,FALSE)</f>
        <v>1</v>
      </c>
      <c r="AM73" s="46">
        <f>HLOOKUP(TBL_CalcDarwin[[#This Row],[Fecha]],'Plantilla AEG ES'!$E$1:$HX$13,12,FALSE)</f>
        <v>7</v>
      </c>
      <c r="AN73" s="46">
        <f>HLOOKUP(TBL_CalcDarwin[[#This Row],[Fecha]],'Plantilla AEG ES'!$E$1:$HX$13,13,FALSE)</f>
        <v>1</v>
      </c>
      <c r="AO73" s="37">
        <f>TBL_CalcDarwin[[#This Row],[Lomitas - Barra A - 5.2 - Cerro]]+TBL_CalcDarwin[[#This Row],[Lomitas - Barra A - 5.2 - Medio]]+TBL_CalcDarwin[[#This Row],[Lomitas - Barra A - 5.2 - Mar]]</f>
        <v>25</v>
      </c>
      <c r="AP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73" s="37">
        <f>TBL_CalcDarwin[[#This Row],[Expansión - Barra A - 5.2 - Cerro]]+TBL_CalcDarwin[[#This Row],[Expansión - Barra A - 5.2 - Medio]]+TBL_CalcDarwin[[#This Row],[Expansión - Barra A - 5.2 - Mar]]</f>
        <v>2</v>
      </c>
      <c r="AT73" s="37">
        <f>TBL_CalcDarwin[[#This Row],[Expansión - Barra B - 5.2 - Cerro]]</f>
        <v>1</v>
      </c>
      <c r="AU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73" s="29">
        <f>TBL_CalcDarwin[[#This Row],[Expansión - Barra B - 5.2 - Cerro]]*TBL_CalcDarwin[[#This Row],[AEG 5.2 MW Cerro]]</f>
        <v>1.266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5">
        <f t="shared" si="6"/>
        <v>45586.999999999833</v>
      </c>
      <c r="C74" s="17">
        <f t="shared" si="7"/>
        <v>2.9999999999999978</v>
      </c>
      <c r="D74" s="34">
        <f>TBL_CalcDarwin[[#This Row],[Darwin PLOM
MW]]+TBL_CalcDarwin[[#This Row],[Darwin PLOME
MW]]</f>
        <v>111.637</v>
      </c>
      <c r="E74" s="34">
        <f>TBL_CalcDarwin[[#This Row],[PLOM MW TOTAL BARRA A]]+TBL_CalcDarwin[[#This Row],[PLOM MW TOTAL BARRA B]]</f>
        <v>108.074</v>
      </c>
      <c r="F74" s="34">
        <f>TBL_CalcDarwin[[#This Row],[PLOME MW TOTAL BARRA A]]+TBL_CalcDarwin[[#This Row],[PLOME MW TOTAL BARRA B]]</f>
        <v>3.5630000000000002</v>
      </c>
      <c r="G74" s="48">
        <f>'Plantilla Datos'!D79</f>
        <v>6.4</v>
      </c>
      <c r="H74" s="48">
        <f>'Plantilla Datos'!E79</f>
        <v>8.1</v>
      </c>
      <c r="I74" s="49">
        <f>'Plantilla Datos'!F79</f>
        <v>16.8</v>
      </c>
      <c r="J74" s="47">
        <f>CEILING('Plantilla Datos'!$L$3*TBL_CalcDarwin[[#This Row],[Darwin Gusts
m/s]],0.5)</f>
        <v>6</v>
      </c>
      <c r="K74" s="47">
        <f>CEILING('Plantilla Datos'!$L$4*TBL_CalcDarwin[[#This Row],[Darwin Gusts
m/s]],0.5)</f>
        <v>7</v>
      </c>
      <c r="L74" s="47">
        <f>CEILING(TBL_CalcDarwin[[#This Row],[Darwin Gusts
m/s]],0.5)</f>
        <v>8.5</v>
      </c>
      <c r="M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74" s="41">
        <f>INDEX(Curva_Temp[Temp],MATCH(TBL_CalcDarwin[[#This Row],[Darwin Temp.
°C]],Curva_Temp[Temp]))</f>
        <v>15</v>
      </c>
      <c r="R74" s="41">
        <f>INDEX(Curva_Temp[Warranted Power Curve for 
1.194Kg/m3 air density '[kW']
SG 5.0-145 (AM+1, 5.2MW) AT 
90M],MATCH(TBL_CalcDarwin[[#This Row],[Darwin Temp.
°C]],Curva_Temp[Temp]))</f>
        <v>5200</v>
      </c>
      <c r="S74" s="41" cm="1">
        <f t="array" ref="S74">INDEX(Curva_Temp[Temp],MATCH(TBL_CalcDarwin[[#This Row],[Darwin Temp.
°C]],Curva_Temp[Temp])+1)</f>
        <v>20</v>
      </c>
      <c r="T74" s="41" cm="1">
        <f t="array" ref="T74">INDEX(Curva_Temp[Warranted Power Curve for 
1.194Kg/m3 air density '[kW']
SG 5.0-145 (AM+1, 5.2MW) AT 
90M],MATCH(TBL_CalcDarwin[[#This Row],[Darwin Temp.
°C]],Curva_Temp[Temp])+1)</f>
        <v>5000</v>
      </c>
      <c r="U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74" s="41">
        <f>INDEX(Curva_Temp[Temp],MATCH(TBL_CalcDarwin[[#This Row],[Darwin Temp.
°C]],Curva_Temp[Temp]))</f>
        <v>15</v>
      </c>
      <c r="Z74" s="41">
        <f>INDEX(Curva_Temp[Warranted Power Curve for 
1.194Kg/m3 air density '[kW']
SG 5.0-145 (AM 0, 5.0MW) AT 
90M],MATCH(TBL_CalcDarwin[[#This Row],[Darwin Temp.
°C]],Curva_Temp[Temp]))</f>
        <v>5000</v>
      </c>
      <c r="AA74" s="41" cm="1">
        <f t="array" ref="AA74">INDEX(Curva_Temp[Temp],MATCH(TBL_CalcDarwin[[#This Row],[Darwin Temp.
°C]],Curva_Temp[Temp])+1)</f>
        <v>20</v>
      </c>
      <c r="AB74" s="41" cm="1">
        <f t="array" ref="AB74">INDEX(Curva_Temp[Warranted Power Curve for 
1.194Kg/m3 air density '[kW']
SG 5.0-145 (AM 0, 5.0MW) AT 
90M],MATCH(TBL_CalcDarwin[[#This Row],[Darwin Temp.
°C]],Curva_Temp[Temp])+1)</f>
        <v>5000</v>
      </c>
      <c r="AC74" s="45">
        <f>HLOOKUP(TBL_CalcDarwin[[#This Row],[Fecha]],'Plantilla AEG ES'!$E$1:$HX$13,2,FALSE)</f>
        <v>5</v>
      </c>
      <c r="AD74" s="45">
        <f>HLOOKUP(TBL_CalcDarwin[[#This Row],[Fecha]],'Plantilla AEG ES'!$E$1:$HX$13,3,FALSE)</f>
        <v>7</v>
      </c>
      <c r="AE74" s="45">
        <f>HLOOKUP(TBL_CalcDarwin[[#This Row],[Fecha]],'Plantilla AEG ES'!$E$1:$HX$13,4,FALSE)</f>
        <v>11</v>
      </c>
      <c r="AF74" s="45">
        <f>HLOOKUP(TBL_CalcDarwin[[#This Row],[Fecha]],'Plantilla AEG ES'!$E$1:$HX$13,5,FALSE)</f>
        <v>1</v>
      </c>
      <c r="AG74" s="45">
        <f>HLOOKUP(TBL_CalcDarwin[[#This Row],[Fecha]],'Plantilla AEG ES'!$E$1:$HX$13,6,FALSE)</f>
        <v>1</v>
      </c>
      <c r="AH74" s="45">
        <f>HLOOKUP(TBL_CalcDarwin[[#This Row],[Fecha]],'Plantilla AEG ES'!$E$1:$HX$13,7,FALSE)</f>
        <v>0</v>
      </c>
      <c r="AI74" s="46">
        <f>HLOOKUP(TBL_CalcDarwin[[#This Row],[Fecha]],'Plantilla AEG ES'!$E$1:$HX$13,8,FALSE)</f>
        <v>0</v>
      </c>
      <c r="AJ74" s="46">
        <f>HLOOKUP(TBL_CalcDarwin[[#This Row],[Fecha]],'Plantilla AEG ES'!$E$1:$HX$13,9,FALSE)</f>
        <v>3</v>
      </c>
      <c r="AK74" s="46">
        <f>HLOOKUP(TBL_CalcDarwin[[#This Row],[Fecha]],'Plantilla AEG ES'!$E$1:$HX$13,10,FALSE)</f>
        <v>12</v>
      </c>
      <c r="AL74" s="46">
        <f>HLOOKUP(TBL_CalcDarwin[[#This Row],[Fecha]],'Plantilla AEG ES'!$E$1:$HX$13,11,FALSE)</f>
        <v>1</v>
      </c>
      <c r="AM74" s="46">
        <f>HLOOKUP(TBL_CalcDarwin[[#This Row],[Fecha]],'Plantilla AEG ES'!$E$1:$HX$13,12,FALSE)</f>
        <v>7</v>
      </c>
      <c r="AN74" s="46">
        <f>HLOOKUP(TBL_CalcDarwin[[#This Row],[Fecha]],'Plantilla AEG ES'!$E$1:$HX$13,13,FALSE)</f>
        <v>1</v>
      </c>
      <c r="AO74" s="37">
        <f>TBL_CalcDarwin[[#This Row],[Lomitas - Barra A - 5.2 - Cerro]]+TBL_CalcDarwin[[#This Row],[Lomitas - Barra A - 5.2 - Medio]]+TBL_CalcDarwin[[#This Row],[Lomitas - Barra A - 5.2 - Mar]]</f>
        <v>23</v>
      </c>
      <c r="AP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74" s="37">
        <f>TBL_CalcDarwin[[#This Row],[Expansión - Barra A - 5.2 - Cerro]]+TBL_CalcDarwin[[#This Row],[Expansión - Barra A - 5.2 - Medio]]+TBL_CalcDarwin[[#This Row],[Expansión - Barra A - 5.2 - Mar]]</f>
        <v>2</v>
      </c>
      <c r="AT74" s="37">
        <f>TBL_CalcDarwin[[#This Row],[Expansión - Barra B - 5.2 - Cerro]]</f>
        <v>1</v>
      </c>
      <c r="AU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74" s="29">
        <f>TBL_CalcDarwin[[#This Row],[Expansión - Barra B - 5.2 - Cerro]]*TBL_CalcDarwin[[#This Row],[AEG 5.2 MW Cerro]]</f>
        <v>0.98299999999999998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5">
        <f t="shared" si="6"/>
        <v>45587.041666666497</v>
      </c>
      <c r="C75" s="17">
        <f t="shared" si="7"/>
        <v>3.0416666666666643</v>
      </c>
      <c r="D75" s="34">
        <f>TBL_CalcDarwin[[#This Row],[Darwin PLOM
MW]]+TBL_CalcDarwin[[#This Row],[Darwin PLOME
MW]]</f>
        <v>79.186999999999998</v>
      </c>
      <c r="E75" s="34">
        <f>TBL_CalcDarwin[[#This Row],[PLOM MW TOTAL BARRA A]]+TBL_CalcDarwin[[#This Row],[PLOM MW TOTAL BARRA B]]</f>
        <v>76.430999999999997</v>
      </c>
      <c r="F75" s="34">
        <f>TBL_CalcDarwin[[#This Row],[PLOME MW TOTAL BARRA A]]+TBL_CalcDarwin[[#This Row],[PLOME MW TOTAL BARRA B]]</f>
        <v>2.7560000000000002</v>
      </c>
      <c r="G75" s="48">
        <f>'Plantilla Datos'!D80</f>
        <v>5.6</v>
      </c>
      <c r="H75" s="48">
        <f>'Plantilla Datos'!E80</f>
        <v>7.2</v>
      </c>
      <c r="I75" s="49">
        <f>'Plantilla Datos'!F80</f>
        <v>16.899999999999999</v>
      </c>
      <c r="J75" s="47">
        <f>CEILING('Plantilla Datos'!$L$3*TBL_CalcDarwin[[#This Row],[Darwin Gusts
m/s]],0.5)</f>
        <v>5.5</v>
      </c>
      <c r="K75" s="47">
        <f>CEILING('Plantilla Datos'!$L$4*TBL_CalcDarwin[[#This Row],[Darwin Gusts
m/s]],0.5)</f>
        <v>6.5</v>
      </c>
      <c r="L75" s="47">
        <f>CEILING(TBL_CalcDarwin[[#This Row],[Darwin Gusts
m/s]],0.5)</f>
        <v>7.5</v>
      </c>
      <c r="M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75" s="41">
        <f>INDEX(Curva_Temp[Temp],MATCH(TBL_CalcDarwin[[#This Row],[Darwin Temp.
°C]],Curva_Temp[Temp]))</f>
        <v>15</v>
      </c>
      <c r="R75" s="41">
        <f>INDEX(Curva_Temp[Warranted Power Curve for 
1.194Kg/m3 air density '[kW']
SG 5.0-145 (AM+1, 5.2MW) AT 
90M],MATCH(TBL_CalcDarwin[[#This Row],[Darwin Temp.
°C]],Curva_Temp[Temp]))</f>
        <v>5200</v>
      </c>
      <c r="S75" s="41" cm="1">
        <f t="array" ref="S75">INDEX(Curva_Temp[Temp],MATCH(TBL_CalcDarwin[[#This Row],[Darwin Temp.
°C]],Curva_Temp[Temp])+1)</f>
        <v>20</v>
      </c>
      <c r="T75" s="41" cm="1">
        <f t="array" ref="T75">INDEX(Curva_Temp[Warranted Power Curve for 
1.194Kg/m3 air density '[kW']
SG 5.0-145 (AM+1, 5.2MW) AT 
90M],MATCH(TBL_CalcDarwin[[#This Row],[Darwin Temp.
°C]],Curva_Temp[Temp])+1)</f>
        <v>5000</v>
      </c>
      <c r="U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75" s="41">
        <f>INDEX(Curva_Temp[Temp],MATCH(TBL_CalcDarwin[[#This Row],[Darwin Temp.
°C]],Curva_Temp[Temp]))</f>
        <v>15</v>
      </c>
      <c r="Z75" s="41">
        <f>INDEX(Curva_Temp[Warranted Power Curve for 
1.194Kg/m3 air density '[kW']
SG 5.0-145 (AM 0, 5.0MW) AT 
90M],MATCH(TBL_CalcDarwin[[#This Row],[Darwin Temp.
°C]],Curva_Temp[Temp]))</f>
        <v>5000</v>
      </c>
      <c r="AA75" s="41" cm="1">
        <f t="array" ref="AA75">INDEX(Curva_Temp[Temp],MATCH(TBL_CalcDarwin[[#This Row],[Darwin Temp.
°C]],Curva_Temp[Temp])+1)</f>
        <v>20</v>
      </c>
      <c r="AB75" s="41" cm="1">
        <f t="array" ref="AB75">INDEX(Curva_Temp[Warranted Power Curve for 
1.194Kg/m3 air density '[kW']
SG 5.0-145 (AM 0, 5.0MW) AT 
90M],MATCH(TBL_CalcDarwin[[#This Row],[Darwin Temp.
°C]],Curva_Temp[Temp])+1)</f>
        <v>5000</v>
      </c>
      <c r="AC75" s="45">
        <f>HLOOKUP(TBL_CalcDarwin[[#This Row],[Fecha]],'Plantilla AEG ES'!$E$1:$HX$13,2,FALSE)</f>
        <v>5</v>
      </c>
      <c r="AD75" s="45">
        <f>HLOOKUP(TBL_CalcDarwin[[#This Row],[Fecha]],'Plantilla AEG ES'!$E$1:$HX$13,3,FALSE)</f>
        <v>7</v>
      </c>
      <c r="AE75" s="45">
        <f>HLOOKUP(TBL_CalcDarwin[[#This Row],[Fecha]],'Plantilla AEG ES'!$E$1:$HX$13,4,FALSE)</f>
        <v>11</v>
      </c>
      <c r="AF75" s="45">
        <f>HLOOKUP(TBL_CalcDarwin[[#This Row],[Fecha]],'Plantilla AEG ES'!$E$1:$HX$13,5,FALSE)</f>
        <v>1</v>
      </c>
      <c r="AG75" s="45">
        <f>HLOOKUP(TBL_CalcDarwin[[#This Row],[Fecha]],'Plantilla AEG ES'!$E$1:$HX$13,6,FALSE)</f>
        <v>1</v>
      </c>
      <c r="AH75" s="45">
        <f>HLOOKUP(TBL_CalcDarwin[[#This Row],[Fecha]],'Plantilla AEG ES'!$E$1:$HX$13,7,FALSE)</f>
        <v>0</v>
      </c>
      <c r="AI75" s="46">
        <f>HLOOKUP(TBL_CalcDarwin[[#This Row],[Fecha]],'Plantilla AEG ES'!$E$1:$HX$13,8,FALSE)</f>
        <v>0</v>
      </c>
      <c r="AJ75" s="46">
        <f>HLOOKUP(TBL_CalcDarwin[[#This Row],[Fecha]],'Plantilla AEG ES'!$E$1:$HX$13,9,FALSE)</f>
        <v>3</v>
      </c>
      <c r="AK75" s="46">
        <f>HLOOKUP(TBL_CalcDarwin[[#This Row],[Fecha]],'Plantilla AEG ES'!$E$1:$HX$13,10,FALSE)</f>
        <v>12</v>
      </c>
      <c r="AL75" s="46">
        <f>HLOOKUP(TBL_CalcDarwin[[#This Row],[Fecha]],'Plantilla AEG ES'!$E$1:$HX$13,11,FALSE)</f>
        <v>1</v>
      </c>
      <c r="AM75" s="46">
        <f>HLOOKUP(TBL_CalcDarwin[[#This Row],[Fecha]],'Plantilla AEG ES'!$E$1:$HX$13,12,FALSE)</f>
        <v>7</v>
      </c>
      <c r="AN75" s="46">
        <f>HLOOKUP(TBL_CalcDarwin[[#This Row],[Fecha]],'Plantilla AEG ES'!$E$1:$HX$13,13,FALSE)</f>
        <v>1</v>
      </c>
      <c r="AO75" s="37">
        <f>TBL_CalcDarwin[[#This Row],[Lomitas - Barra A - 5.2 - Cerro]]+TBL_CalcDarwin[[#This Row],[Lomitas - Barra A - 5.2 - Medio]]+TBL_CalcDarwin[[#This Row],[Lomitas - Barra A - 5.2 - Mar]]</f>
        <v>23</v>
      </c>
      <c r="AP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75" s="37">
        <f>TBL_CalcDarwin[[#This Row],[Expansión - Barra A - 5.2 - Cerro]]+TBL_CalcDarwin[[#This Row],[Expansión - Barra A - 5.2 - Medio]]+TBL_CalcDarwin[[#This Row],[Expansión - Barra A - 5.2 - Mar]]</f>
        <v>2</v>
      </c>
      <c r="AT75" s="37">
        <f>TBL_CalcDarwin[[#This Row],[Expansión - Barra B - 5.2 - Cerro]]</f>
        <v>1</v>
      </c>
      <c r="AU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75" s="29">
        <f>TBL_CalcDarwin[[#This Row],[Expansión - Barra B - 5.2 - Cerro]]*TBL_CalcDarwin[[#This Row],[AEG 5.2 MW Cerro]]</f>
        <v>0.745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5">
        <f t="shared" si="6"/>
        <v>45587.083333333161</v>
      </c>
      <c r="C76" s="17">
        <f t="shared" si="7"/>
        <v>3.0833333333333308</v>
      </c>
      <c r="D76" s="34">
        <f>TBL_CalcDarwin[[#This Row],[Darwin PLOM
MW]]+TBL_CalcDarwin[[#This Row],[Darwin PLOME
MW]]</f>
        <v>79.186999999999998</v>
      </c>
      <c r="E76" s="34">
        <f>TBL_CalcDarwin[[#This Row],[PLOM MW TOTAL BARRA A]]+TBL_CalcDarwin[[#This Row],[PLOM MW TOTAL BARRA B]]</f>
        <v>76.430999999999997</v>
      </c>
      <c r="F76" s="34">
        <f>TBL_CalcDarwin[[#This Row],[PLOME MW TOTAL BARRA A]]+TBL_CalcDarwin[[#This Row],[PLOME MW TOTAL BARRA B]]</f>
        <v>2.7560000000000002</v>
      </c>
      <c r="G76" s="48">
        <f>'Plantilla Datos'!D81</f>
        <v>5.7</v>
      </c>
      <c r="H76" s="48">
        <f>'Plantilla Datos'!E81</f>
        <v>7.2</v>
      </c>
      <c r="I76" s="49">
        <f>'Plantilla Datos'!F81</f>
        <v>16.600000000000001</v>
      </c>
      <c r="J76" s="47">
        <f>CEILING('Plantilla Datos'!$L$3*TBL_CalcDarwin[[#This Row],[Darwin Gusts
m/s]],0.5)</f>
        <v>5.5</v>
      </c>
      <c r="K76" s="47">
        <f>CEILING('Plantilla Datos'!$L$4*TBL_CalcDarwin[[#This Row],[Darwin Gusts
m/s]],0.5)</f>
        <v>6.5</v>
      </c>
      <c r="L76" s="47">
        <f>CEILING(TBL_CalcDarwin[[#This Row],[Darwin Gusts
m/s]],0.5)</f>
        <v>7.5</v>
      </c>
      <c r="M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76" s="41">
        <f>INDEX(Curva_Temp[Temp],MATCH(TBL_CalcDarwin[[#This Row],[Darwin Temp.
°C]],Curva_Temp[Temp]))</f>
        <v>15</v>
      </c>
      <c r="R76" s="41">
        <f>INDEX(Curva_Temp[Warranted Power Curve for 
1.194Kg/m3 air density '[kW']
SG 5.0-145 (AM+1, 5.2MW) AT 
90M],MATCH(TBL_CalcDarwin[[#This Row],[Darwin Temp.
°C]],Curva_Temp[Temp]))</f>
        <v>5200</v>
      </c>
      <c r="S76" s="41" cm="1">
        <f t="array" ref="S76">INDEX(Curva_Temp[Temp],MATCH(TBL_CalcDarwin[[#This Row],[Darwin Temp.
°C]],Curva_Temp[Temp])+1)</f>
        <v>20</v>
      </c>
      <c r="T76" s="41" cm="1">
        <f t="array" ref="T76">INDEX(Curva_Temp[Warranted Power Curve for 
1.194Kg/m3 air density '[kW']
SG 5.0-145 (AM+1, 5.2MW) AT 
90M],MATCH(TBL_CalcDarwin[[#This Row],[Darwin Temp.
°C]],Curva_Temp[Temp])+1)</f>
        <v>5000</v>
      </c>
      <c r="U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76" s="41">
        <f>INDEX(Curva_Temp[Temp],MATCH(TBL_CalcDarwin[[#This Row],[Darwin Temp.
°C]],Curva_Temp[Temp]))</f>
        <v>15</v>
      </c>
      <c r="Z76" s="41">
        <f>INDEX(Curva_Temp[Warranted Power Curve for 
1.194Kg/m3 air density '[kW']
SG 5.0-145 (AM 0, 5.0MW) AT 
90M],MATCH(TBL_CalcDarwin[[#This Row],[Darwin Temp.
°C]],Curva_Temp[Temp]))</f>
        <v>5000</v>
      </c>
      <c r="AA76" s="41" cm="1">
        <f t="array" ref="AA76">INDEX(Curva_Temp[Temp],MATCH(TBL_CalcDarwin[[#This Row],[Darwin Temp.
°C]],Curva_Temp[Temp])+1)</f>
        <v>20</v>
      </c>
      <c r="AB76" s="41" cm="1">
        <f t="array" ref="AB76">INDEX(Curva_Temp[Warranted Power Curve for 
1.194Kg/m3 air density '[kW']
SG 5.0-145 (AM 0, 5.0MW) AT 
90M],MATCH(TBL_CalcDarwin[[#This Row],[Darwin Temp.
°C]],Curva_Temp[Temp])+1)</f>
        <v>5000</v>
      </c>
      <c r="AC76" s="45">
        <f>HLOOKUP(TBL_CalcDarwin[[#This Row],[Fecha]],'Plantilla AEG ES'!$E$1:$HX$13,2,FALSE)</f>
        <v>5</v>
      </c>
      <c r="AD76" s="45">
        <f>HLOOKUP(TBL_CalcDarwin[[#This Row],[Fecha]],'Plantilla AEG ES'!$E$1:$HX$13,3,FALSE)</f>
        <v>7</v>
      </c>
      <c r="AE76" s="45">
        <f>HLOOKUP(TBL_CalcDarwin[[#This Row],[Fecha]],'Plantilla AEG ES'!$E$1:$HX$13,4,FALSE)</f>
        <v>11</v>
      </c>
      <c r="AF76" s="45">
        <f>HLOOKUP(TBL_CalcDarwin[[#This Row],[Fecha]],'Plantilla AEG ES'!$E$1:$HX$13,5,FALSE)</f>
        <v>1</v>
      </c>
      <c r="AG76" s="45">
        <f>HLOOKUP(TBL_CalcDarwin[[#This Row],[Fecha]],'Plantilla AEG ES'!$E$1:$HX$13,6,FALSE)</f>
        <v>1</v>
      </c>
      <c r="AH76" s="45">
        <f>HLOOKUP(TBL_CalcDarwin[[#This Row],[Fecha]],'Plantilla AEG ES'!$E$1:$HX$13,7,FALSE)</f>
        <v>0</v>
      </c>
      <c r="AI76" s="46">
        <f>HLOOKUP(TBL_CalcDarwin[[#This Row],[Fecha]],'Plantilla AEG ES'!$E$1:$HX$13,8,FALSE)</f>
        <v>0</v>
      </c>
      <c r="AJ76" s="46">
        <f>HLOOKUP(TBL_CalcDarwin[[#This Row],[Fecha]],'Plantilla AEG ES'!$E$1:$HX$13,9,FALSE)</f>
        <v>3</v>
      </c>
      <c r="AK76" s="46">
        <f>HLOOKUP(TBL_CalcDarwin[[#This Row],[Fecha]],'Plantilla AEG ES'!$E$1:$HX$13,10,FALSE)</f>
        <v>12</v>
      </c>
      <c r="AL76" s="46">
        <f>HLOOKUP(TBL_CalcDarwin[[#This Row],[Fecha]],'Plantilla AEG ES'!$E$1:$HX$13,11,FALSE)</f>
        <v>1</v>
      </c>
      <c r="AM76" s="46">
        <f>HLOOKUP(TBL_CalcDarwin[[#This Row],[Fecha]],'Plantilla AEG ES'!$E$1:$HX$13,12,FALSE)</f>
        <v>7</v>
      </c>
      <c r="AN76" s="46">
        <f>HLOOKUP(TBL_CalcDarwin[[#This Row],[Fecha]],'Plantilla AEG ES'!$E$1:$HX$13,13,FALSE)</f>
        <v>1</v>
      </c>
      <c r="AO76" s="37">
        <f>TBL_CalcDarwin[[#This Row],[Lomitas - Barra A - 5.2 - Cerro]]+TBL_CalcDarwin[[#This Row],[Lomitas - Barra A - 5.2 - Medio]]+TBL_CalcDarwin[[#This Row],[Lomitas - Barra A - 5.2 - Mar]]</f>
        <v>23</v>
      </c>
      <c r="AP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76" s="37">
        <f>TBL_CalcDarwin[[#This Row],[Expansión - Barra A - 5.2 - Cerro]]+TBL_CalcDarwin[[#This Row],[Expansión - Barra A - 5.2 - Medio]]+TBL_CalcDarwin[[#This Row],[Expansión - Barra A - 5.2 - Mar]]</f>
        <v>2</v>
      </c>
      <c r="AT76" s="37">
        <f>TBL_CalcDarwin[[#This Row],[Expansión - Barra B - 5.2 - Cerro]]</f>
        <v>1</v>
      </c>
      <c r="AU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76" s="29">
        <f>TBL_CalcDarwin[[#This Row],[Expansión - Barra B - 5.2 - Cerro]]*TBL_CalcDarwin[[#This Row],[AEG 5.2 MW Cerro]]</f>
        <v>0.745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5">
        <f t="shared" si="6"/>
        <v>45587.124999999825</v>
      </c>
      <c r="C77" s="17">
        <f>C76+TIME(1,0,0)</f>
        <v>3.1249999999999973</v>
      </c>
      <c r="D77" s="34">
        <f>TBL_CalcDarwin[[#This Row],[Darwin PLOM
MW]]+TBL_CalcDarwin[[#This Row],[Darwin PLOME
MW]]</f>
        <v>79.186999999999998</v>
      </c>
      <c r="E77" s="34">
        <f>TBL_CalcDarwin[[#This Row],[PLOM MW TOTAL BARRA A]]+TBL_CalcDarwin[[#This Row],[PLOM MW TOTAL BARRA B]]</f>
        <v>76.430999999999997</v>
      </c>
      <c r="F77" s="34">
        <f>TBL_CalcDarwin[[#This Row],[PLOME MW TOTAL BARRA A]]+TBL_CalcDarwin[[#This Row],[PLOME MW TOTAL BARRA B]]</f>
        <v>2.7560000000000002</v>
      </c>
      <c r="G77" s="48">
        <f>'Plantilla Datos'!D82</f>
        <v>5.8</v>
      </c>
      <c r="H77" s="48">
        <f>'Plantilla Datos'!E82</f>
        <v>7.3</v>
      </c>
      <c r="I77" s="49">
        <f>'Plantilla Datos'!F82</f>
        <v>16.399999999999999</v>
      </c>
      <c r="J77" s="47">
        <f>CEILING('Plantilla Datos'!$L$3*TBL_CalcDarwin[[#This Row],[Darwin Gusts
m/s]],0.5)</f>
        <v>5.5</v>
      </c>
      <c r="K77" s="47">
        <f>CEILING('Plantilla Datos'!$L$4*TBL_CalcDarwin[[#This Row],[Darwin Gusts
m/s]],0.5)</f>
        <v>6.5</v>
      </c>
      <c r="L77" s="47">
        <f>CEILING(TBL_CalcDarwin[[#This Row],[Darwin Gusts
m/s]],0.5)</f>
        <v>7.5</v>
      </c>
      <c r="M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77" s="41">
        <f>INDEX(Curva_Temp[Temp],MATCH(TBL_CalcDarwin[[#This Row],[Darwin Temp.
°C]],Curva_Temp[Temp]))</f>
        <v>15</v>
      </c>
      <c r="R77" s="41">
        <f>INDEX(Curva_Temp[Warranted Power Curve for 
1.194Kg/m3 air density '[kW']
SG 5.0-145 (AM+1, 5.2MW) AT 
90M],MATCH(TBL_CalcDarwin[[#This Row],[Darwin Temp.
°C]],Curva_Temp[Temp]))</f>
        <v>5200</v>
      </c>
      <c r="S77" s="41" cm="1">
        <f t="array" ref="S77">INDEX(Curva_Temp[Temp],MATCH(TBL_CalcDarwin[[#This Row],[Darwin Temp.
°C]],Curva_Temp[Temp])+1)</f>
        <v>20</v>
      </c>
      <c r="T77" s="41" cm="1">
        <f t="array" ref="T77">INDEX(Curva_Temp[Warranted Power Curve for 
1.194Kg/m3 air density '[kW']
SG 5.0-145 (AM+1, 5.2MW) AT 
90M],MATCH(TBL_CalcDarwin[[#This Row],[Darwin Temp.
°C]],Curva_Temp[Temp])+1)</f>
        <v>5000</v>
      </c>
      <c r="U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77" s="41">
        <f>INDEX(Curva_Temp[Temp],MATCH(TBL_CalcDarwin[[#This Row],[Darwin Temp.
°C]],Curva_Temp[Temp]))</f>
        <v>15</v>
      </c>
      <c r="Z77" s="41">
        <f>INDEX(Curva_Temp[Warranted Power Curve for 
1.194Kg/m3 air density '[kW']
SG 5.0-145 (AM 0, 5.0MW) AT 
90M],MATCH(TBL_CalcDarwin[[#This Row],[Darwin Temp.
°C]],Curva_Temp[Temp]))</f>
        <v>5000</v>
      </c>
      <c r="AA77" s="41" cm="1">
        <f t="array" ref="AA77">INDEX(Curva_Temp[Temp],MATCH(TBL_CalcDarwin[[#This Row],[Darwin Temp.
°C]],Curva_Temp[Temp])+1)</f>
        <v>20</v>
      </c>
      <c r="AB77" s="41" cm="1">
        <f t="array" ref="AB77">INDEX(Curva_Temp[Warranted Power Curve for 
1.194Kg/m3 air density '[kW']
SG 5.0-145 (AM 0, 5.0MW) AT 
90M],MATCH(TBL_CalcDarwin[[#This Row],[Darwin Temp.
°C]],Curva_Temp[Temp])+1)</f>
        <v>5000</v>
      </c>
      <c r="AC77" s="45">
        <f>HLOOKUP(TBL_CalcDarwin[[#This Row],[Fecha]],'Plantilla AEG ES'!$E$1:$HX$13,2,FALSE)</f>
        <v>5</v>
      </c>
      <c r="AD77" s="45">
        <f>HLOOKUP(TBL_CalcDarwin[[#This Row],[Fecha]],'Plantilla AEG ES'!$E$1:$HX$13,3,FALSE)</f>
        <v>7</v>
      </c>
      <c r="AE77" s="45">
        <f>HLOOKUP(TBL_CalcDarwin[[#This Row],[Fecha]],'Plantilla AEG ES'!$E$1:$HX$13,4,FALSE)</f>
        <v>11</v>
      </c>
      <c r="AF77" s="45">
        <f>HLOOKUP(TBL_CalcDarwin[[#This Row],[Fecha]],'Plantilla AEG ES'!$E$1:$HX$13,5,FALSE)</f>
        <v>1</v>
      </c>
      <c r="AG77" s="45">
        <f>HLOOKUP(TBL_CalcDarwin[[#This Row],[Fecha]],'Plantilla AEG ES'!$E$1:$HX$13,6,FALSE)</f>
        <v>1</v>
      </c>
      <c r="AH77" s="45">
        <f>HLOOKUP(TBL_CalcDarwin[[#This Row],[Fecha]],'Plantilla AEG ES'!$E$1:$HX$13,7,FALSE)</f>
        <v>0</v>
      </c>
      <c r="AI77" s="46">
        <f>HLOOKUP(TBL_CalcDarwin[[#This Row],[Fecha]],'Plantilla AEG ES'!$E$1:$HX$13,8,FALSE)</f>
        <v>0</v>
      </c>
      <c r="AJ77" s="46">
        <f>HLOOKUP(TBL_CalcDarwin[[#This Row],[Fecha]],'Plantilla AEG ES'!$E$1:$HX$13,9,FALSE)</f>
        <v>3</v>
      </c>
      <c r="AK77" s="46">
        <f>HLOOKUP(TBL_CalcDarwin[[#This Row],[Fecha]],'Plantilla AEG ES'!$E$1:$HX$13,10,FALSE)</f>
        <v>12</v>
      </c>
      <c r="AL77" s="46">
        <f>HLOOKUP(TBL_CalcDarwin[[#This Row],[Fecha]],'Plantilla AEG ES'!$E$1:$HX$13,11,FALSE)</f>
        <v>1</v>
      </c>
      <c r="AM77" s="46">
        <f>HLOOKUP(TBL_CalcDarwin[[#This Row],[Fecha]],'Plantilla AEG ES'!$E$1:$HX$13,12,FALSE)</f>
        <v>7</v>
      </c>
      <c r="AN77" s="46">
        <f>HLOOKUP(TBL_CalcDarwin[[#This Row],[Fecha]],'Plantilla AEG ES'!$E$1:$HX$13,13,FALSE)</f>
        <v>1</v>
      </c>
      <c r="AO77" s="37">
        <f>TBL_CalcDarwin[[#This Row],[Lomitas - Barra A - 5.2 - Cerro]]+TBL_CalcDarwin[[#This Row],[Lomitas - Barra A - 5.2 - Medio]]+TBL_CalcDarwin[[#This Row],[Lomitas - Barra A - 5.2 - Mar]]</f>
        <v>23</v>
      </c>
      <c r="AP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77" s="37">
        <f>TBL_CalcDarwin[[#This Row],[Expansión - Barra A - 5.2 - Cerro]]+TBL_CalcDarwin[[#This Row],[Expansión - Barra A - 5.2 - Medio]]+TBL_CalcDarwin[[#This Row],[Expansión - Barra A - 5.2 - Mar]]</f>
        <v>2</v>
      </c>
      <c r="AT77" s="37">
        <f>TBL_CalcDarwin[[#This Row],[Expansión - Barra B - 5.2 - Cerro]]</f>
        <v>1</v>
      </c>
      <c r="AU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77" s="29">
        <f>TBL_CalcDarwin[[#This Row],[Expansión - Barra B - 5.2 - Cerro]]*TBL_CalcDarwin[[#This Row],[AEG 5.2 MW Cerro]]</f>
        <v>0.745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5">
        <f t="shared" si="6"/>
        <v>45587.16666666649</v>
      </c>
      <c r="C78" s="17">
        <f t="shared" ref="C78:C94" si="8">C77+TIME(1,0,0)</f>
        <v>3.1666666666666639</v>
      </c>
      <c r="D78" s="34">
        <f>TBL_CalcDarwin[[#This Row],[Darwin PLOM
MW]]+TBL_CalcDarwin[[#This Row],[Darwin PLOME
MW]]</f>
        <v>79.186999999999998</v>
      </c>
      <c r="E78" s="34">
        <f>TBL_CalcDarwin[[#This Row],[PLOM MW TOTAL BARRA A]]+TBL_CalcDarwin[[#This Row],[PLOM MW TOTAL BARRA B]]</f>
        <v>76.430999999999997</v>
      </c>
      <c r="F78" s="34">
        <f>TBL_CalcDarwin[[#This Row],[PLOME MW TOTAL BARRA A]]+TBL_CalcDarwin[[#This Row],[PLOME MW TOTAL BARRA B]]</f>
        <v>2.7560000000000002</v>
      </c>
      <c r="G78" s="48">
        <f>'Plantilla Datos'!D83</f>
        <v>5.8</v>
      </c>
      <c r="H78" s="48">
        <f>'Plantilla Datos'!E83</f>
        <v>7.4</v>
      </c>
      <c r="I78" s="49">
        <f>'Plantilla Datos'!F83</f>
        <v>16.100000000000001</v>
      </c>
      <c r="J78" s="47">
        <f>CEILING('Plantilla Datos'!$L$3*TBL_CalcDarwin[[#This Row],[Darwin Gusts
m/s]],0.5)</f>
        <v>5.5</v>
      </c>
      <c r="K78" s="47">
        <f>CEILING('Plantilla Datos'!$L$4*TBL_CalcDarwin[[#This Row],[Darwin Gusts
m/s]],0.5)</f>
        <v>6.5</v>
      </c>
      <c r="L78" s="47">
        <f>CEILING(TBL_CalcDarwin[[#This Row],[Darwin Gusts
m/s]],0.5)</f>
        <v>7.5</v>
      </c>
      <c r="M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78" s="41">
        <f>INDEX(Curva_Temp[Temp],MATCH(TBL_CalcDarwin[[#This Row],[Darwin Temp.
°C]],Curva_Temp[Temp]))</f>
        <v>15</v>
      </c>
      <c r="R78" s="41">
        <f>INDEX(Curva_Temp[Warranted Power Curve for 
1.194Kg/m3 air density '[kW']
SG 5.0-145 (AM+1, 5.2MW) AT 
90M],MATCH(TBL_CalcDarwin[[#This Row],[Darwin Temp.
°C]],Curva_Temp[Temp]))</f>
        <v>5200</v>
      </c>
      <c r="S78" s="41" cm="1">
        <f t="array" ref="S78">INDEX(Curva_Temp[Temp],MATCH(TBL_CalcDarwin[[#This Row],[Darwin Temp.
°C]],Curva_Temp[Temp])+1)</f>
        <v>20</v>
      </c>
      <c r="T78" s="41" cm="1">
        <f t="array" ref="T78">INDEX(Curva_Temp[Warranted Power Curve for 
1.194Kg/m3 air density '[kW']
SG 5.0-145 (AM+1, 5.2MW) AT 
90M],MATCH(TBL_CalcDarwin[[#This Row],[Darwin Temp.
°C]],Curva_Temp[Temp])+1)</f>
        <v>5000</v>
      </c>
      <c r="U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78" s="41">
        <f>INDEX(Curva_Temp[Temp],MATCH(TBL_CalcDarwin[[#This Row],[Darwin Temp.
°C]],Curva_Temp[Temp]))</f>
        <v>15</v>
      </c>
      <c r="Z78" s="41">
        <f>INDEX(Curva_Temp[Warranted Power Curve for 
1.194Kg/m3 air density '[kW']
SG 5.0-145 (AM 0, 5.0MW) AT 
90M],MATCH(TBL_CalcDarwin[[#This Row],[Darwin Temp.
°C]],Curva_Temp[Temp]))</f>
        <v>5000</v>
      </c>
      <c r="AA78" s="41" cm="1">
        <f t="array" ref="AA78">INDEX(Curva_Temp[Temp],MATCH(TBL_CalcDarwin[[#This Row],[Darwin Temp.
°C]],Curva_Temp[Temp])+1)</f>
        <v>20</v>
      </c>
      <c r="AB78" s="41" cm="1">
        <f t="array" ref="AB78">INDEX(Curva_Temp[Warranted Power Curve for 
1.194Kg/m3 air density '[kW']
SG 5.0-145 (AM 0, 5.0MW) AT 
90M],MATCH(TBL_CalcDarwin[[#This Row],[Darwin Temp.
°C]],Curva_Temp[Temp])+1)</f>
        <v>5000</v>
      </c>
      <c r="AC78" s="45">
        <f>HLOOKUP(TBL_CalcDarwin[[#This Row],[Fecha]],'Plantilla AEG ES'!$E$1:$HX$13,2,FALSE)</f>
        <v>5</v>
      </c>
      <c r="AD78" s="45">
        <f>HLOOKUP(TBL_CalcDarwin[[#This Row],[Fecha]],'Plantilla AEG ES'!$E$1:$HX$13,3,FALSE)</f>
        <v>7</v>
      </c>
      <c r="AE78" s="45">
        <f>HLOOKUP(TBL_CalcDarwin[[#This Row],[Fecha]],'Plantilla AEG ES'!$E$1:$HX$13,4,FALSE)</f>
        <v>11</v>
      </c>
      <c r="AF78" s="45">
        <f>HLOOKUP(TBL_CalcDarwin[[#This Row],[Fecha]],'Plantilla AEG ES'!$E$1:$HX$13,5,FALSE)</f>
        <v>1</v>
      </c>
      <c r="AG78" s="45">
        <f>HLOOKUP(TBL_CalcDarwin[[#This Row],[Fecha]],'Plantilla AEG ES'!$E$1:$HX$13,6,FALSE)</f>
        <v>1</v>
      </c>
      <c r="AH78" s="45">
        <f>HLOOKUP(TBL_CalcDarwin[[#This Row],[Fecha]],'Plantilla AEG ES'!$E$1:$HX$13,7,FALSE)</f>
        <v>0</v>
      </c>
      <c r="AI78" s="46">
        <f>HLOOKUP(TBL_CalcDarwin[[#This Row],[Fecha]],'Plantilla AEG ES'!$E$1:$HX$13,8,FALSE)</f>
        <v>0</v>
      </c>
      <c r="AJ78" s="46">
        <f>HLOOKUP(TBL_CalcDarwin[[#This Row],[Fecha]],'Plantilla AEG ES'!$E$1:$HX$13,9,FALSE)</f>
        <v>3</v>
      </c>
      <c r="AK78" s="46">
        <f>HLOOKUP(TBL_CalcDarwin[[#This Row],[Fecha]],'Plantilla AEG ES'!$E$1:$HX$13,10,FALSE)</f>
        <v>12</v>
      </c>
      <c r="AL78" s="46">
        <f>HLOOKUP(TBL_CalcDarwin[[#This Row],[Fecha]],'Plantilla AEG ES'!$E$1:$HX$13,11,FALSE)</f>
        <v>1</v>
      </c>
      <c r="AM78" s="46">
        <f>HLOOKUP(TBL_CalcDarwin[[#This Row],[Fecha]],'Plantilla AEG ES'!$E$1:$HX$13,12,FALSE)</f>
        <v>7</v>
      </c>
      <c r="AN78" s="46">
        <f>HLOOKUP(TBL_CalcDarwin[[#This Row],[Fecha]],'Plantilla AEG ES'!$E$1:$HX$13,13,FALSE)</f>
        <v>1</v>
      </c>
      <c r="AO78" s="37">
        <f>TBL_CalcDarwin[[#This Row],[Lomitas - Barra A - 5.2 - Cerro]]+TBL_CalcDarwin[[#This Row],[Lomitas - Barra A - 5.2 - Medio]]+TBL_CalcDarwin[[#This Row],[Lomitas - Barra A - 5.2 - Mar]]</f>
        <v>23</v>
      </c>
      <c r="AP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78" s="37">
        <f>TBL_CalcDarwin[[#This Row],[Expansión - Barra A - 5.2 - Cerro]]+TBL_CalcDarwin[[#This Row],[Expansión - Barra A - 5.2 - Medio]]+TBL_CalcDarwin[[#This Row],[Expansión - Barra A - 5.2 - Mar]]</f>
        <v>2</v>
      </c>
      <c r="AT78" s="37">
        <f>TBL_CalcDarwin[[#This Row],[Expansión - Barra B - 5.2 - Cerro]]</f>
        <v>1</v>
      </c>
      <c r="AU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78" s="29">
        <f>TBL_CalcDarwin[[#This Row],[Expansión - Barra B - 5.2 - Cerro]]*TBL_CalcDarwin[[#This Row],[AEG 5.2 MW Cerro]]</f>
        <v>0.745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5">
        <f t="shared" si="6"/>
        <v>45587.208333333154</v>
      </c>
      <c r="C79" s="17">
        <f t="shared" si="8"/>
        <v>3.2083333333333304</v>
      </c>
      <c r="D79" s="34">
        <f>TBL_CalcDarwin[[#This Row],[Darwin PLOM
MW]]+TBL_CalcDarwin[[#This Row],[Darwin PLOME
MW]]</f>
        <v>118.092</v>
      </c>
      <c r="E79" s="34">
        <f>TBL_CalcDarwin[[#This Row],[PLOM MW TOTAL BARRA A]]+TBL_CalcDarwin[[#This Row],[PLOM MW TOTAL BARRA B]]</f>
        <v>113.58199999999999</v>
      </c>
      <c r="F79" s="34">
        <f>TBL_CalcDarwin[[#This Row],[PLOME MW TOTAL BARRA A]]+TBL_CalcDarwin[[#This Row],[PLOME MW TOTAL BARRA B]]</f>
        <v>4.51</v>
      </c>
      <c r="G79" s="48">
        <f>'Plantilla Datos'!D84</f>
        <v>6.7</v>
      </c>
      <c r="H79" s="48">
        <f>'Plantilla Datos'!E84</f>
        <v>8.4</v>
      </c>
      <c r="I79" s="49">
        <f>'Plantilla Datos'!F84</f>
        <v>15.9</v>
      </c>
      <c r="J79" s="47">
        <f>CEILING('Plantilla Datos'!$L$3*TBL_CalcDarwin[[#This Row],[Darwin Gusts
m/s]],0.5)</f>
        <v>6.5</v>
      </c>
      <c r="K79" s="47">
        <f>CEILING('Plantilla Datos'!$L$4*TBL_CalcDarwin[[#This Row],[Darwin Gusts
m/s]],0.5)</f>
        <v>7.5</v>
      </c>
      <c r="L79" s="47">
        <f>CEILING(TBL_CalcDarwin[[#This Row],[Darwin Gusts
m/s]],0.5)</f>
        <v>8.5</v>
      </c>
      <c r="M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79" s="41">
        <f>INDEX(Curva_Temp[Temp],MATCH(TBL_CalcDarwin[[#This Row],[Darwin Temp.
°C]],Curva_Temp[Temp]))</f>
        <v>15</v>
      </c>
      <c r="R79" s="41">
        <f>INDEX(Curva_Temp[Warranted Power Curve for 
1.194Kg/m3 air density '[kW']
SG 5.0-145 (AM+1, 5.2MW) AT 
90M],MATCH(TBL_CalcDarwin[[#This Row],[Darwin Temp.
°C]],Curva_Temp[Temp]))</f>
        <v>5200</v>
      </c>
      <c r="S79" s="41" cm="1">
        <f t="array" ref="S79">INDEX(Curva_Temp[Temp],MATCH(TBL_CalcDarwin[[#This Row],[Darwin Temp.
°C]],Curva_Temp[Temp])+1)</f>
        <v>20</v>
      </c>
      <c r="T79" s="41" cm="1">
        <f t="array" ref="T79">INDEX(Curva_Temp[Warranted Power Curve for 
1.194Kg/m3 air density '[kW']
SG 5.0-145 (AM+1, 5.2MW) AT 
90M],MATCH(TBL_CalcDarwin[[#This Row],[Darwin Temp.
°C]],Curva_Temp[Temp])+1)</f>
        <v>5000</v>
      </c>
      <c r="U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79" s="41">
        <f>INDEX(Curva_Temp[Temp],MATCH(TBL_CalcDarwin[[#This Row],[Darwin Temp.
°C]],Curva_Temp[Temp]))</f>
        <v>15</v>
      </c>
      <c r="Z79" s="41">
        <f>INDEX(Curva_Temp[Warranted Power Curve for 
1.194Kg/m3 air density '[kW']
SG 5.0-145 (AM 0, 5.0MW) AT 
90M],MATCH(TBL_CalcDarwin[[#This Row],[Darwin Temp.
°C]],Curva_Temp[Temp]))</f>
        <v>5000</v>
      </c>
      <c r="AA79" s="41" cm="1">
        <f t="array" ref="AA79">INDEX(Curva_Temp[Temp],MATCH(TBL_CalcDarwin[[#This Row],[Darwin Temp.
°C]],Curva_Temp[Temp])+1)</f>
        <v>20</v>
      </c>
      <c r="AB79" s="41" cm="1">
        <f t="array" ref="AB79">INDEX(Curva_Temp[Warranted Power Curve for 
1.194Kg/m3 air density '[kW']
SG 5.0-145 (AM 0, 5.0MW) AT 
90M],MATCH(TBL_CalcDarwin[[#This Row],[Darwin Temp.
°C]],Curva_Temp[Temp])+1)</f>
        <v>5000</v>
      </c>
      <c r="AC79" s="45">
        <f>HLOOKUP(TBL_CalcDarwin[[#This Row],[Fecha]],'Plantilla AEG ES'!$E$1:$HX$13,2,FALSE)</f>
        <v>5</v>
      </c>
      <c r="AD79" s="45">
        <f>HLOOKUP(TBL_CalcDarwin[[#This Row],[Fecha]],'Plantilla AEG ES'!$E$1:$HX$13,3,FALSE)</f>
        <v>7</v>
      </c>
      <c r="AE79" s="45">
        <f>HLOOKUP(TBL_CalcDarwin[[#This Row],[Fecha]],'Plantilla AEG ES'!$E$1:$HX$13,4,FALSE)</f>
        <v>11</v>
      </c>
      <c r="AF79" s="45">
        <f>HLOOKUP(TBL_CalcDarwin[[#This Row],[Fecha]],'Plantilla AEG ES'!$E$1:$HX$13,5,FALSE)</f>
        <v>1</v>
      </c>
      <c r="AG79" s="45">
        <f>HLOOKUP(TBL_CalcDarwin[[#This Row],[Fecha]],'Plantilla AEG ES'!$E$1:$HX$13,6,FALSE)</f>
        <v>1</v>
      </c>
      <c r="AH79" s="45">
        <f>HLOOKUP(TBL_CalcDarwin[[#This Row],[Fecha]],'Plantilla AEG ES'!$E$1:$HX$13,7,FALSE)</f>
        <v>0</v>
      </c>
      <c r="AI79" s="46">
        <f>HLOOKUP(TBL_CalcDarwin[[#This Row],[Fecha]],'Plantilla AEG ES'!$E$1:$HX$13,8,FALSE)</f>
        <v>0</v>
      </c>
      <c r="AJ79" s="46">
        <f>HLOOKUP(TBL_CalcDarwin[[#This Row],[Fecha]],'Plantilla AEG ES'!$E$1:$HX$13,9,FALSE)</f>
        <v>3</v>
      </c>
      <c r="AK79" s="46">
        <f>HLOOKUP(TBL_CalcDarwin[[#This Row],[Fecha]],'Plantilla AEG ES'!$E$1:$HX$13,10,FALSE)</f>
        <v>12</v>
      </c>
      <c r="AL79" s="46">
        <f>HLOOKUP(TBL_CalcDarwin[[#This Row],[Fecha]],'Plantilla AEG ES'!$E$1:$HX$13,11,FALSE)</f>
        <v>1</v>
      </c>
      <c r="AM79" s="46">
        <f>HLOOKUP(TBL_CalcDarwin[[#This Row],[Fecha]],'Plantilla AEG ES'!$E$1:$HX$13,12,FALSE)</f>
        <v>7</v>
      </c>
      <c r="AN79" s="46">
        <f>HLOOKUP(TBL_CalcDarwin[[#This Row],[Fecha]],'Plantilla AEG ES'!$E$1:$HX$13,13,FALSE)</f>
        <v>1</v>
      </c>
      <c r="AO79" s="37">
        <f>TBL_CalcDarwin[[#This Row],[Lomitas - Barra A - 5.2 - Cerro]]+TBL_CalcDarwin[[#This Row],[Lomitas - Barra A - 5.2 - Medio]]+TBL_CalcDarwin[[#This Row],[Lomitas - Barra A - 5.2 - Mar]]</f>
        <v>23</v>
      </c>
      <c r="AP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79" s="37">
        <f>TBL_CalcDarwin[[#This Row],[Expansión - Barra A - 5.2 - Cerro]]+TBL_CalcDarwin[[#This Row],[Expansión - Barra A - 5.2 - Medio]]+TBL_CalcDarwin[[#This Row],[Expansión - Barra A - 5.2 - Mar]]</f>
        <v>2</v>
      </c>
      <c r="AT79" s="37">
        <f>TBL_CalcDarwin[[#This Row],[Expansión - Barra B - 5.2 - Cerro]]</f>
        <v>1</v>
      </c>
      <c r="AU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79" s="29">
        <f>TBL_CalcDarwin[[#This Row],[Expansión - Barra B - 5.2 - Cerro]]*TBL_CalcDarwin[[#This Row],[AEG 5.2 MW Cerro]]</f>
        <v>1.266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5">
        <f t="shared" si="6"/>
        <v>45587.249999999818</v>
      </c>
      <c r="C80" s="17">
        <f t="shared" si="8"/>
        <v>3.2499999999999969</v>
      </c>
      <c r="D80" s="34">
        <f>TBL_CalcDarwin[[#This Row],[Darwin PLOM
MW]]+TBL_CalcDarwin[[#This Row],[Darwin PLOME
MW]]</f>
        <v>159.38400000000001</v>
      </c>
      <c r="E80" s="34">
        <f>TBL_CalcDarwin[[#This Row],[PLOM MW TOTAL BARRA A]]+TBL_CalcDarwin[[#This Row],[PLOM MW TOTAL BARRA B]]</f>
        <v>153.31200000000001</v>
      </c>
      <c r="F80" s="34">
        <f>TBL_CalcDarwin[[#This Row],[PLOME MW TOTAL BARRA A]]+TBL_CalcDarwin[[#This Row],[PLOME MW TOTAL BARRA B]]</f>
        <v>6.0719999999999992</v>
      </c>
      <c r="G80" s="48">
        <f>'Plantilla Datos'!D85</f>
        <v>7.5</v>
      </c>
      <c r="H80" s="48">
        <f>'Plantilla Datos'!E85</f>
        <v>9.5</v>
      </c>
      <c r="I80" s="49">
        <f>'Plantilla Datos'!F85</f>
        <v>15.9</v>
      </c>
      <c r="J80" s="47">
        <f>CEILING('Plantilla Datos'!$L$3*TBL_CalcDarwin[[#This Row],[Darwin Gusts
m/s]],0.5)</f>
        <v>7</v>
      </c>
      <c r="K80" s="47">
        <f>CEILING('Plantilla Datos'!$L$4*TBL_CalcDarwin[[#This Row],[Darwin Gusts
m/s]],0.5)</f>
        <v>8.5</v>
      </c>
      <c r="L80" s="47">
        <f>CEILING(TBL_CalcDarwin[[#This Row],[Darwin Gusts
m/s]],0.5)</f>
        <v>9.5</v>
      </c>
      <c r="M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80" s="41">
        <f>INDEX(Curva_Temp[Temp],MATCH(TBL_CalcDarwin[[#This Row],[Darwin Temp.
°C]],Curva_Temp[Temp]))</f>
        <v>15</v>
      </c>
      <c r="R80" s="41">
        <f>INDEX(Curva_Temp[Warranted Power Curve for 
1.194Kg/m3 air density '[kW']
SG 5.0-145 (AM+1, 5.2MW) AT 
90M],MATCH(TBL_CalcDarwin[[#This Row],[Darwin Temp.
°C]],Curva_Temp[Temp]))</f>
        <v>5200</v>
      </c>
      <c r="S80" s="41" cm="1">
        <f t="array" ref="S80">INDEX(Curva_Temp[Temp],MATCH(TBL_CalcDarwin[[#This Row],[Darwin Temp.
°C]],Curva_Temp[Temp])+1)</f>
        <v>20</v>
      </c>
      <c r="T80" s="41" cm="1">
        <f t="array" ref="T80">INDEX(Curva_Temp[Warranted Power Curve for 
1.194Kg/m3 air density '[kW']
SG 5.0-145 (AM+1, 5.2MW) AT 
90M],MATCH(TBL_CalcDarwin[[#This Row],[Darwin Temp.
°C]],Curva_Temp[Temp])+1)</f>
        <v>5000</v>
      </c>
      <c r="U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80" s="41">
        <f>INDEX(Curva_Temp[Temp],MATCH(TBL_CalcDarwin[[#This Row],[Darwin Temp.
°C]],Curva_Temp[Temp]))</f>
        <v>15</v>
      </c>
      <c r="Z80" s="41">
        <f>INDEX(Curva_Temp[Warranted Power Curve for 
1.194Kg/m3 air density '[kW']
SG 5.0-145 (AM 0, 5.0MW) AT 
90M],MATCH(TBL_CalcDarwin[[#This Row],[Darwin Temp.
°C]],Curva_Temp[Temp]))</f>
        <v>5000</v>
      </c>
      <c r="AA80" s="41" cm="1">
        <f t="array" ref="AA80">INDEX(Curva_Temp[Temp],MATCH(TBL_CalcDarwin[[#This Row],[Darwin Temp.
°C]],Curva_Temp[Temp])+1)</f>
        <v>20</v>
      </c>
      <c r="AB80" s="41" cm="1">
        <f t="array" ref="AB80">INDEX(Curva_Temp[Warranted Power Curve for 
1.194Kg/m3 air density '[kW']
SG 5.0-145 (AM 0, 5.0MW) AT 
90M],MATCH(TBL_CalcDarwin[[#This Row],[Darwin Temp.
°C]],Curva_Temp[Temp])+1)</f>
        <v>5000</v>
      </c>
      <c r="AC80" s="45">
        <f>HLOOKUP(TBL_CalcDarwin[[#This Row],[Fecha]],'Plantilla AEG ES'!$E$1:$HX$13,2,FALSE)</f>
        <v>5</v>
      </c>
      <c r="AD80" s="45">
        <f>HLOOKUP(TBL_CalcDarwin[[#This Row],[Fecha]],'Plantilla AEG ES'!$E$1:$HX$13,3,FALSE)</f>
        <v>7</v>
      </c>
      <c r="AE80" s="45">
        <f>HLOOKUP(TBL_CalcDarwin[[#This Row],[Fecha]],'Plantilla AEG ES'!$E$1:$HX$13,4,FALSE)</f>
        <v>11</v>
      </c>
      <c r="AF80" s="45">
        <f>HLOOKUP(TBL_CalcDarwin[[#This Row],[Fecha]],'Plantilla AEG ES'!$E$1:$HX$13,5,FALSE)</f>
        <v>1</v>
      </c>
      <c r="AG80" s="45">
        <f>HLOOKUP(TBL_CalcDarwin[[#This Row],[Fecha]],'Plantilla AEG ES'!$E$1:$HX$13,6,FALSE)</f>
        <v>1</v>
      </c>
      <c r="AH80" s="45">
        <f>HLOOKUP(TBL_CalcDarwin[[#This Row],[Fecha]],'Plantilla AEG ES'!$E$1:$HX$13,7,FALSE)</f>
        <v>0</v>
      </c>
      <c r="AI80" s="46">
        <f>HLOOKUP(TBL_CalcDarwin[[#This Row],[Fecha]],'Plantilla AEG ES'!$E$1:$HX$13,8,FALSE)</f>
        <v>0</v>
      </c>
      <c r="AJ80" s="46">
        <f>HLOOKUP(TBL_CalcDarwin[[#This Row],[Fecha]],'Plantilla AEG ES'!$E$1:$HX$13,9,FALSE)</f>
        <v>3</v>
      </c>
      <c r="AK80" s="46">
        <f>HLOOKUP(TBL_CalcDarwin[[#This Row],[Fecha]],'Plantilla AEG ES'!$E$1:$HX$13,10,FALSE)</f>
        <v>12</v>
      </c>
      <c r="AL80" s="46">
        <f>HLOOKUP(TBL_CalcDarwin[[#This Row],[Fecha]],'Plantilla AEG ES'!$E$1:$HX$13,11,FALSE)</f>
        <v>1</v>
      </c>
      <c r="AM80" s="46">
        <f>HLOOKUP(TBL_CalcDarwin[[#This Row],[Fecha]],'Plantilla AEG ES'!$E$1:$HX$13,12,FALSE)</f>
        <v>7</v>
      </c>
      <c r="AN80" s="46">
        <f>HLOOKUP(TBL_CalcDarwin[[#This Row],[Fecha]],'Plantilla AEG ES'!$E$1:$HX$13,13,FALSE)</f>
        <v>1</v>
      </c>
      <c r="AO80" s="37">
        <f>TBL_CalcDarwin[[#This Row],[Lomitas - Barra A - 5.2 - Cerro]]+TBL_CalcDarwin[[#This Row],[Lomitas - Barra A - 5.2 - Medio]]+TBL_CalcDarwin[[#This Row],[Lomitas - Barra A - 5.2 - Mar]]</f>
        <v>23</v>
      </c>
      <c r="AP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70.393000000000001</v>
      </c>
      <c r="AR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80" s="37">
        <f>TBL_CalcDarwin[[#This Row],[Expansión - Barra A - 5.2 - Cerro]]+TBL_CalcDarwin[[#This Row],[Expansión - Barra A - 5.2 - Medio]]+TBL_CalcDarwin[[#This Row],[Expansión - Barra A - 5.2 - Mar]]</f>
        <v>2</v>
      </c>
      <c r="AT80" s="37">
        <f>TBL_CalcDarwin[[#This Row],[Expansión - Barra B - 5.2 - Cerro]]</f>
        <v>1</v>
      </c>
      <c r="AU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80" s="29">
        <f>TBL_CalcDarwin[[#This Row],[Expansión - Barra B - 5.2 - Cerro]]*TBL_CalcDarwin[[#This Row],[AEG 5.2 MW Cerro]]</f>
        <v>1.597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5">
        <f t="shared" si="6"/>
        <v>45587.291666666482</v>
      </c>
      <c r="C81" s="17">
        <f t="shared" si="8"/>
        <v>3.2916666666666634</v>
      </c>
      <c r="D81" s="34">
        <f>TBL_CalcDarwin[[#This Row],[Darwin PLOM
MW]]+TBL_CalcDarwin[[#This Row],[Darwin PLOME
MW]]</f>
        <v>195.351</v>
      </c>
      <c r="E81" s="34">
        <f>TBL_CalcDarwin[[#This Row],[PLOM MW TOTAL BARRA A]]+TBL_CalcDarwin[[#This Row],[PLOM MW TOTAL BARRA B]]</f>
        <v>187.167</v>
      </c>
      <c r="F81" s="34">
        <f>TBL_CalcDarwin[[#This Row],[PLOME MW TOTAL BARRA A]]+TBL_CalcDarwin[[#This Row],[PLOME MW TOTAL BARRA B]]</f>
        <v>8.1840000000000011</v>
      </c>
      <c r="G81" s="48">
        <f>'Plantilla Datos'!D86</f>
        <v>8.4</v>
      </c>
      <c r="H81" s="48">
        <f>'Plantilla Datos'!E86</f>
        <v>10.5</v>
      </c>
      <c r="I81" s="49">
        <f>'Plantilla Datos'!F86</f>
        <v>15.8</v>
      </c>
      <c r="J81" s="47">
        <f>CEILING('Plantilla Datos'!$L$3*TBL_CalcDarwin[[#This Row],[Darwin Gusts
m/s]],0.5)</f>
        <v>8</v>
      </c>
      <c r="K81" s="47">
        <f>CEILING('Plantilla Datos'!$L$4*TBL_CalcDarwin[[#This Row],[Darwin Gusts
m/s]],0.5)</f>
        <v>9</v>
      </c>
      <c r="L81" s="47">
        <f>CEILING(TBL_CalcDarwin[[#This Row],[Darwin Gusts
m/s]],0.5)</f>
        <v>10.5</v>
      </c>
      <c r="M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81" s="41">
        <f>INDEX(Curva_Temp[Temp],MATCH(TBL_CalcDarwin[[#This Row],[Darwin Temp.
°C]],Curva_Temp[Temp]))</f>
        <v>15</v>
      </c>
      <c r="R81" s="41">
        <f>INDEX(Curva_Temp[Warranted Power Curve for 
1.194Kg/m3 air density '[kW']
SG 5.0-145 (AM+1, 5.2MW) AT 
90M],MATCH(TBL_CalcDarwin[[#This Row],[Darwin Temp.
°C]],Curva_Temp[Temp]))</f>
        <v>5200</v>
      </c>
      <c r="S81" s="41" cm="1">
        <f t="array" ref="S81">INDEX(Curva_Temp[Temp],MATCH(TBL_CalcDarwin[[#This Row],[Darwin Temp.
°C]],Curva_Temp[Temp])+1)</f>
        <v>20</v>
      </c>
      <c r="T81" s="41" cm="1">
        <f t="array" ref="T81">INDEX(Curva_Temp[Warranted Power Curve for 
1.194Kg/m3 air density '[kW']
SG 5.0-145 (AM+1, 5.2MW) AT 
90M],MATCH(TBL_CalcDarwin[[#This Row],[Darwin Temp.
°C]],Curva_Temp[Temp])+1)</f>
        <v>5000</v>
      </c>
      <c r="U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81" s="41">
        <f>INDEX(Curva_Temp[Temp],MATCH(TBL_CalcDarwin[[#This Row],[Darwin Temp.
°C]],Curva_Temp[Temp]))</f>
        <v>15</v>
      </c>
      <c r="Z81" s="41">
        <f>INDEX(Curva_Temp[Warranted Power Curve for 
1.194Kg/m3 air density '[kW']
SG 5.0-145 (AM 0, 5.0MW) AT 
90M],MATCH(TBL_CalcDarwin[[#This Row],[Darwin Temp.
°C]],Curva_Temp[Temp]))</f>
        <v>5000</v>
      </c>
      <c r="AA81" s="41" cm="1">
        <f t="array" ref="AA81">INDEX(Curva_Temp[Temp],MATCH(TBL_CalcDarwin[[#This Row],[Darwin Temp.
°C]],Curva_Temp[Temp])+1)</f>
        <v>20</v>
      </c>
      <c r="AB81" s="41" cm="1">
        <f t="array" ref="AB81">INDEX(Curva_Temp[Warranted Power Curve for 
1.194Kg/m3 air density '[kW']
SG 5.0-145 (AM 0, 5.0MW) AT 
90M],MATCH(TBL_CalcDarwin[[#This Row],[Darwin Temp.
°C]],Curva_Temp[Temp])+1)</f>
        <v>5000</v>
      </c>
      <c r="AC81" s="45">
        <f>HLOOKUP(TBL_CalcDarwin[[#This Row],[Fecha]],'Plantilla AEG ES'!$E$1:$HX$13,2,FALSE)</f>
        <v>5</v>
      </c>
      <c r="AD81" s="45">
        <f>HLOOKUP(TBL_CalcDarwin[[#This Row],[Fecha]],'Plantilla AEG ES'!$E$1:$HX$13,3,FALSE)</f>
        <v>7</v>
      </c>
      <c r="AE81" s="45">
        <f>HLOOKUP(TBL_CalcDarwin[[#This Row],[Fecha]],'Plantilla AEG ES'!$E$1:$HX$13,4,FALSE)</f>
        <v>11</v>
      </c>
      <c r="AF81" s="45">
        <f>HLOOKUP(TBL_CalcDarwin[[#This Row],[Fecha]],'Plantilla AEG ES'!$E$1:$HX$13,5,FALSE)</f>
        <v>1</v>
      </c>
      <c r="AG81" s="45">
        <f>HLOOKUP(TBL_CalcDarwin[[#This Row],[Fecha]],'Plantilla AEG ES'!$E$1:$HX$13,6,FALSE)</f>
        <v>1</v>
      </c>
      <c r="AH81" s="45">
        <f>HLOOKUP(TBL_CalcDarwin[[#This Row],[Fecha]],'Plantilla AEG ES'!$E$1:$HX$13,7,FALSE)</f>
        <v>0</v>
      </c>
      <c r="AI81" s="46">
        <f>HLOOKUP(TBL_CalcDarwin[[#This Row],[Fecha]],'Plantilla AEG ES'!$E$1:$HX$13,8,FALSE)</f>
        <v>0</v>
      </c>
      <c r="AJ81" s="46">
        <f>HLOOKUP(TBL_CalcDarwin[[#This Row],[Fecha]],'Plantilla AEG ES'!$E$1:$HX$13,9,FALSE)</f>
        <v>3</v>
      </c>
      <c r="AK81" s="46">
        <f>HLOOKUP(TBL_CalcDarwin[[#This Row],[Fecha]],'Plantilla AEG ES'!$E$1:$HX$13,10,FALSE)</f>
        <v>12</v>
      </c>
      <c r="AL81" s="46">
        <f>HLOOKUP(TBL_CalcDarwin[[#This Row],[Fecha]],'Plantilla AEG ES'!$E$1:$HX$13,11,FALSE)</f>
        <v>1</v>
      </c>
      <c r="AM81" s="46">
        <f>HLOOKUP(TBL_CalcDarwin[[#This Row],[Fecha]],'Plantilla AEG ES'!$E$1:$HX$13,12,FALSE)</f>
        <v>7</v>
      </c>
      <c r="AN81" s="46">
        <f>HLOOKUP(TBL_CalcDarwin[[#This Row],[Fecha]],'Plantilla AEG ES'!$E$1:$HX$13,13,FALSE)</f>
        <v>1</v>
      </c>
      <c r="AO81" s="37">
        <f>TBL_CalcDarwin[[#This Row],[Lomitas - Barra A - 5.2 - Cerro]]+TBL_CalcDarwin[[#This Row],[Lomitas - Barra A - 5.2 - Medio]]+TBL_CalcDarwin[[#This Row],[Lomitas - Barra A - 5.2 - Mar]]</f>
        <v>23</v>
      </c>
      <c r="AP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86.9</v>
      </c>
      <c r="AR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81" s="37">
        <f>TBL_CalcDarwin[[#This Row],[Expansión - Barra A - 5.2 - Cerro]]+TBL_CalcDarwin[[#This Row],[Expansión - Barra A - 5.2 - Medio]]+TBL_CalcDarwin[[#This Row],[Expansión - Barra A - 5.2 - Mar]]</f>
        <v>2</v>
      </c>
      <c r="AT81" s="37">
        <f>TBL_CalcDarwin[[#This Row],[Expansión - Barra B - 5.2 - Cerro]]</f>
        <v>1</v>
      </c>
      <c r="AU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81" s="29">
        <f>TBL_CalcDarwin[[#This Row],[Expansión - Barra B - 5.2 - Cerro]]*TBL_CalcDarwin[[#This Row],[AEG 5.2 MW Cerro]]</f>
        <v>2.4089999999999998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5">
        <f t="shared" si="6"/>
        <v>45587.333333333147</v>
      </c>
      <c r="C82" s="17">
        <f t="shared" si="8"/>
        <v>3.3333333333333299</v>
      </c>
      <c r="D82" s="34">
        <f>TBL_CalcDarwin[[#This Row],[Darwin PLOM
MW]]+TBL_CalcDarwin[[#This Row],[Darwin PLOME
MW]]</f>
        <v>191.90899999999999</v>
      </c>
      <c r="E82" s="34">
        <f>TBL_CalcDarwin[[#This Row],[PLOM MW TOTAL BARRA A]]+TBL_CalcDarwin[[#This Row],[PLOM MW TOTAL BARRA B]]</f>
        <v>184.58699999999999</v>
      </c>
      <c r="F82" s="34">
        <f>TBL_CalcDarwin[[#This Row],[PLOME MW TOTAL BARRA A]]+TBL_CalcDarwin[[#This Row],[PLOME MW TOTAL BARRA B]]</f>
        <v>7.3220000000000001</v>
      </c>
      <c r="G82" s="48">
        <f>'Plantilla Datos'!D87</f>
        <v>8</v>
      </c>
      <c r="H82" s="48">
        <f>'Plantilla Datos'!E87</f>
        <v>10.1</v>
      </c>
      <c r="I82" s="49">
        <f>'Plantilla Datos'!F87</f>
        <v>16.8</v>
      </c>
      <c r="J82" s="47">
        <f>CEILING('Plantilla Datos'!$L$3*TBL_CalcDarwin[[#This Row],[Darwin Gusts
m/s]],0.5)</f>
        <v>7.5</v>
      </c>
      <c r="K82" s="47">
        <f>CEILING('Plantilla Datos'!$L$4*TBL_CalcDarwin[[#This Row],[Darwin Gusts
m/s]],0.5)</f>
        <v>9</v>
      </c>
      <c r="L82" s="47">
        <f>CEILING(TBL_CalcDarwin[[#This Row],[Darwin Gusts
m/s]],0.5)</f>
        <v>10.5</v>
      </c>
      <c r="M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82" s="41">
        <f>INDEX(Curva_Temp[Temp],MATCH(TBL_CalcDarwin[[#This Row],[Darwin Temp.
°C]],Curva_Temp[Temp]))</f>
        <v>15</v>
      </c>
      <c r="R82" s="41">
        <f>INDEX(Curva_Temp[Warranted Power Curve for 
1.194Kg/m3 air density '[kW']
SG 5.0-145 (AM+1, 5.2MW) AT 
90M],MATCH(TBL_CalcDarwin[[#This Row],[Darwin Temp.
°C]],Curva_Temp[Temp]))</f>
        <v>5200</v>
      </c>
      <c r="S82" s="41" cm="1">
        <f t="array" ref="S82">INDEX(Curva_Temp[Temp],MATCH(TBL_CalcDarwin[[#This Row],[Darwin Temp.
°C]],Curva_Temp[Temp])+1)</f>
        <v>20</v>
      </c>
      <c r="T82" s="41" cm="1">
        <f t="array" ref="T82">INDEX(Curva_Temp[Warranted Power Curve for 
1.194Kg/m3 air density '[kW']
SG 5.0-145 (AM+1, 5.2MW) AT 
90M],MATCH(TBL_CalcDarwin[[#This Row],[Darwin Temp.
°C]],Curva_Temp[Temp])+1)</f>
        <v>5000</v>
      </c>
      <c r="U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82" s="41">
        <f>INDEX(Curva_Temp[Temp],MATCH(TBL_CalcDarwin[[#This Row],[Darwin Temp.
°C]],Curva_Temp[Temp]))</f>
        <v>15</v>
      </c>
      <c r="Z82" s="41">
        <f>INDEX(Curva_Temp[Warranted Power Curve for 
1.194Kg/m3 air density '[kW']
SG 5.0-145 (AM 0, 5.0MW) AT 
90M],MATCH(TBL_CalcDarwin[[#This Row],[Darwin Temp.
°C]],Curva_Temp[Temp]))</f>
        <v>5000</v>
      </c>
      <c r="AA82" s="41" cm="1">
        <f t="array" ref="AA82">INDEX(Curva_Temp[Temp],MATCH(TBL_CalcDarwin[[#This Row],[Darwin Temp.
°C]],Curva_Temp[Temp])+1)</f>
        <v>20</v>
      </c>
      <c r="AB82" s="41" cm="1">
        <f t="array" ref="AB82">INDEX(Curva_Temp[Warranted Power Curve for 
1.194Kg/m3 air density '[kW']
SG 5.0-145 (AM 0, 5.0MW) AT 
90M],MATCH(TBL_CalcDarwin[[#This Row],[Darwin Temp.
°C]],Curva_Temp[Temp])+1)</f>
        <v>5000</v>
      </c>
      <c r="AC82" s="45">
        <f>HLOOKUP(TBL_CalcDarwin[[#This Row],[Fecha]],'Plantilla AEG ES'!$E$1:$HX$13,2,FALSE)</f>
        <v>5</v>
      </c>
      <c r="AD82" s="45">
        <f>HLOOKUP(TBL_CalcDarwin[[#This Row],[Fecha]],'Plantilla AEG ES'!$E$1:$HX$13,3,FALSE)</f>
        <v>7</v>
      </c>
      <c r="AE82" s="45">
        <f>HLOOKUP(TBL_CalcDarwin[[#This Row],[Fecha]],'Plantilla AEG ES'!$E$1:$HX$13,4,FALSE)</f>
        <v>11</v>
      </c>
      <c r="AF82" s="45">
        <f>HLOOKUP(TBL_CalcDarwin[[#This Row],[Fecha]],'Plantilla AEG ES'!$E$1:$HX$13,5,FALSE)</f>
        <v>1</v>
      </c>
      <c r="AG82" s="45">
        <f>HLOOKUP(TBL_CalcDarwin[[#This Row],[Fecha]],'Plantilla AEG ES'!$E$1:$HX$13,6,FALSE)</f>
        <v>1</v>
      </c>
      <c r="AH82" s="45">
        <f>HLOOKUP(TBL_CalcDarwin[[#This Row],[Fecha]],'Plantilla AEG ES'!$E$1:$HX$13,7,FALSE)</f>
        <v>0</v>
      </c>
      <c r="AI82" s="46">
        <f>HLOOKUP(TBL_CalcDarwin[[#This Row],[Fecha]],'Plantilla AEG ES'!$E$1:$HX$13,8,FALSE)</f>
        <v>0</v>
      </c>
      <c r="AJ82" s="46">
        <f>HLOOKUP(TBL_CalcDarwin[[#This Row],[Fecha]],'Plantilla AEG ES'!$E$1:$HX$13,9,FALSE)</f>
        <v>3</v>
      </c>
      <c r="AK82" s="46">
        <f>HLOOKUP(TBL_CalcDarwin[[#This Row],[Fecha]],'Plantilla AEG ES'!$E$1:$HX$13,10,FALSE)</f>
        <v>12</v>
      </c>
      <c r="AL82" s="46">
        <f>HLOOKUP(TBL_CalcDarwin[[#This Row],[Fecha]],'Plantilla AEG ES'!$E$1:$HX$13,11,FALSE)</f>
        <v>1</v>
      </c>
      <c r="AM82" s="46">
        <f>HLOOKUP(TBL_CalcDarwin[[#This Row],[Fecha]],'Plantilla AEG ES'!$E$1:$HX$13,12,FALSE)</f>
        <v>7</v>
      </c>
      <c r="AN82" s="46">
        <f>HLOOKUP(TBL_CalcDarwin[[#This Row],[Fecha]],'Plantilla AEG ES'!$E$1:$HX$13,13,FALSE)</f>
        <v>1</v>
      </c>
      <c r="AO82" s="37">
        <f>TBL_CalcDarwin[[#This Row],[Lomitas - Barra A - 5.2 - Cerro]]+TBL_CalcDarwin[[#This Row],[Lomitas - Barra A - 5.2 - Medio]]+TBL_CalcDarwin[[#This Row],[Lomitas - Barra A - 5.2 - Mar]]</f>
        <v>23</v>
      </c>
      <c r="AP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82" s="37">
        <f>TBL_CalcDarwin[[#This Row],[Expansión - Barra A - 5.2 - Cerro]]+TBL_CalcDarwin[[#This Row],[Expansión - Barra A - 5.2 - Medio]]+TBL_CalcDarwin[[#This Row],[Expansión - Barra A - 5.2 - Mar]]</f>
        <v>2</v>
      </c>
      <c r="AT82" s="37">
        <f>TBL_CalcDarwin[[#This Row],[Expansión - Barra B - 5.2 - Cerro]]</f>
        <v>1</v>
      </c>
      <c r="AU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82" s="29">
        <f>TBL_CalcDarwin[[#This Row],[Expansión - Barra B - 5.2 - Cerro]]*TBL_CalcDarwin[[#This Row],[AEG 5.2 MW Cerro]]</f>
        <v>1.978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5">
        <f t="shared" si="6"/>
        <v>45587.374999999811</v>
      </c>
      <c r="C83" s="17">
        <f t="shared" si="8"/>
        <v>3.3749999999999964</v>
      </c>
      <c r="D83" s="34">
        <f>TBL_CalcDarwin[[#This Row],[Darwin PLOM
MW]]+TBL_CalcDarwin[[#This Row],[Darwin PLOME
MW]]</f>
        <v>172.44799999999998</v>
      </c>
      <c r="E83" s="34">
        <f>TBL_CalcDarwin[[#This Row],[PLOM MW TOTAL BARRA A]]+TBL_CalcDarwin[[#This Row],[PLOM MW TOTAL BARRA B]]</f>
        <v>166.37599999999998</v>
      </c>
      <c r="F83" s="34">
        <f>TBL_CalcDarwin[[#This Row],[PLOME MW TOTAL BARRA A]]+TBL_CalcDarwin[[#This Row],[PLOME MW TOTAL BARRA B]]</f>
        <v>6.0719999999999992</v>
      </c>
      <c r="G83" s="48">
        <f>'Plantilla Datos'!D88</f>
        <v>7.7</v>
      </c>
      <c r="H83" s="48">
        <f>'Plantilla Datos'!E88</f>
        <v>9.6</v>
      </c>
      <c r="I83" s="49">
        <f>'Plantilla Datos'!F88</f>
        <v>17.8</v>
      </c>
      <c r="J83" s="47">
        <f>CEILING('Plantilla Datos'!$L$3*TBL_CalcDarwin[[#This Row],[Darwin Gusts
m/s]],0.5)</f>
        <v>7</v>
      </c>
      <c r="K83" s="47">
        <f>CEILING('Plantilla Datos'!$L$4*TBL_CalcDarwin[[#This Row],[Darwin Gusts
m/s]],0.5)</f>
        <v>8.5</v>
      </c>
      <c r="L83" s="47">
        <f>CEILING(TBL_CalcDarwin[[#This Row],[Darwin Gusts
m/s]],0.5)</f>
        <v>10</v>
      </c>
      <c r="M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83" s="41">
        <f>INDEX(Curva_Temp[Temp],MATCH(TBL_CalcDarwin[[#This Row],[Darwin Temp.
°C]],Curva_Temp[Temp]))</f>
        <v>15</v>
      </c>
      <c r="R83" s="41">
        <f>INDEX(Curva_Temp[Warranted Power Curve for 
1.194Kg/m3 air density '[kW']
SG 5.0-145 (AM+1, 5.2MW) AT 
90M],MATCH(TBL_CalcDarwin[[#This Row],[Darwin Temp.
°C]],Curva_Temp[Temp]))</f>
        <v>5200</v>
      </c>
      <c r="S83" s="41" cm="1">
        <f t="array" ref="S83">INDEX(Curva_Temp[Temp],MATCH(TBL_CalcDarwin[[#This Row],[Darwin Temp.
°C]],Curva_Temp[Temp])+1)</f>
        <v>20</v>
      </c>
      <c r="T83" s="41" cm="1">
        <f t="array" ref="T83">INDEX(Curva_Temp[Warranted Power Curve for 
1.194Kg/m3 air density '[kW']
SG 5.0-145 (AM+1, 5.2MW) AT 
90M],MATCH(TBL_CalcDarwin[[#This Row],[Darwin Temp.
°C]],Curva_Temp[Temp])+1)</f>
        <v>5000</v>
      </c>
      <c r="U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83" s="41">
        <f>INDEX(Curva_Temp[Temp],MATCH(TBL_CalcDarwin[[#This Row],[Darwin Temp.
°C]],Curva_Temp[Temp]))</f>
        <v>15</v>
      </c>
      <c r="Z83" s="41">
        <f>INDEX(Curva_Temp[Warranted Power Curve for 
1.194Kg/m3 air density '[kW']
SG 5.0-145 (AM 0, 5.0MW) AT 
90M],MATCH(TBL_CalcDarwin[[#This Row],[Darwin Temp.
°C]],Curva_Temp[Temp]))</f>
        <v>5000</v>
      </c>
      <c r="AA83" s="41" cm="1">
        <f t="array" ref="AA83">INDEX(Curva_Temp[Temp],MATCH(TBL_CalcDarwin[[#This Row],[Darwin Temp.
°C]],Curva_Temp[Temp])+1)</f>
        <v>20</v>
      </c>
      <c r="AB83" s="41" cm="1">
        <f t="array" ref="AB83">INDEX(Curva_Temp[Warranted Power Curve for 
1.194Kg/m3 air density '[kW']
SG 5.0-145 (AM 0, 5.0MW) AT 
90M],MATCH(TBL_CalcDarwin[[#This Row],[Darwin Temp.
°C]],Curva_Temp[Temp])+1)</f>
        <v>5000</v>
      </c>
      <c r="AC83" s="45">
        <f>HLOOKUP(TBL_CalcDarwin[[#This Row],[Fecha]],'Plantilla AEG ES'!$E$1:$HX$13,2,FALSE)</f>
        <v>5</v>
      </c>
      <c r="AD83" s="45">
        <f>HLOOKUP(TBL_CalcDarwin[[#This Row],[Fecha]],'Plantilla AEG ES'!$E$1:$HX$13,3,FALSE)</f>
        <v>7</v>
      </c>
      <c r="AE83" s="45">
        <f>HLOOKUP(TBL_CalcDarwin[[#This Row],[Fecha]],'Plantilla AEG ES'!$E$1:$HX$13,4,FALSE)</f>
        <v>11</v>
      </c>
      <c r="AF83" s="45">
        <f>HLOOKUP(TBL_CalcDarwin[[#This Row],[Fecha]],'Plantilla AEG ES'!$E$1:$HX$13,5,FALSE)</f>
        <v>1</v>
      </c>
      <c r="AG83" s="45">
        <f>HLOOKUP(TBL_CalcDarwin[[#This Row],[Fecha]],'Plantilla AEG ES'!$E$1:$HX$13,6,FALSE)</f>
        <v>1</v>
      </c>
      <c r="AH83" s="45">
        <f>HLOOKUP(TBL_CalcDarwin[[#This Row],[Fecha]],'Plantilla AEG ES'!$E$1:$HX$13,7,FALSE)</f>
        <v>0</v>
      </c>
      <c r="AI83" s="46">
        <f>HLOOKUP(TBL_CalcDarwin[[#This Row],[Fecha]],'Plantilla AEG ES'!$E$1:$HX$13,8,FALSE)</f>
        <v>0</v>
      </c>
      <c r="AJ83" s="46">
        <f>HLOOKUP(TBL_CalcDarwin[[#This Row],[Fecha]],'Plantilla AEG ES'!$E$1:$HX$13,9,FALSE)</f>
        <v>3</v>
      </c>
      <c r="AK83" s="46">
        <f>HLOOKUP(TBL_CalcDarwin[[#This Row],[Fecha]],'Plantilla AEG ES'!$E$1:$HX$13,10,FALSE)</f>
        <v>12</v>
      </c>
      <c r="AL83" s="46">
        <f>HLOOKUP(TBL_CalcDarwin[[#This Row],[Fecha]],'Plantilla AEG ES'!$E$1:$HX$13,11,FALSE)</f>
        <v>1</v>
      </c>
      <c r="AM83" s="46">
        <f>HLOOKUP(TBL_CalcDarwin[[#This Row],[Fecha]],'Plantilla AEG ES'!$E$1:$HX$13,12,FALSE)</f>
        <v>7</v>
      </c>
      <c r="AN83" s="46">
        <f>HLOOKUP(TBL_CalcDarwin[[#This Row],[Fecha]],'Plantilla AEG ES'!$E$1:$HX$13,13,FALSE)</f>
        <v>1</v>
      </c>
      <c r="AO83" s="37">
        <f>TBL_CalcDarwin[[#This Row],[Lomitas - Barra A - 5.2 - Cerro]]+TBL_CalcDarwin[[#This Row],[Lomitas - Barra A - 5.2 - Medio]]+TBL_CalcDarwin[[#This Row],[Lomitas - Barra A - 5.2 - Mar]]</f>
        <v>23</v>
      </c>
      <c r="AP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75.254999999999995</v>
      </c>
      <c r="AR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83" s="37">
        <f>TBL_CalcDarwin[[#This Row],[Expansión - Barra A - 5.2 - Cerro]]+TBL_CalcDarwin[[#This Row],[Expansión - Barra A - 5.2 - Medio]]+TBL_CalcDarwin[[#This Row],[Expansión - Barra A - 5.2 - Mar]]</f>
        <v>2</v>
      </c>
      <c r="AT83" s="37">
        <f>TBL_CalcDarwin[[#This Row],[Expansión - Barra B - 5.2 - Cerro]]</f>
        <v>1</v>
      </c>
      <c r="AU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83" s="29">
        <f>TBL_CalcDarwin[[#This Row],[Expansión - Barra B - 5.2 - Cerro]]*TBL_CalcDarwin[[#This Row],[AEG 5.2 MW Cerro]]</f>
        <v>1.597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5">
        <f t="shared" si="6"/>
        <v>45587.416666666475</v>
      </c>
      <c r="C84" s="17">
        <f t="shared" si="8"/>
        <v>3.416666666666663</v>
      </c>
      <c r="D84" s="34">
        <f>TBL_CalcDarwin[[#This Row],[Darwin PLOM
MW]]+TBL_CalcDarwin[[#This Row],[Darwin PLOME
MW]]</f>
        <v>154.22500000000002</v>
      </c>
      <c r="E84" s="34">
        <f>TBL_CalcDarwin[[#This Row],[PLOM MW TOTAL BARRA A]]+TBL_CalcDarwin[[#This Row],[PLOM MW TOTAL BARRA B]]</f>
        <v>148.62200000000001</v>
      </c>
      <c r="F84" s="34">
        <f>TBL_CalcDarwin[[#This Row],[PLOME MW TOTAL BARRA A]]+TBL_CalcDarwin[[#This Row],[PLOME MW TOTAL BARRA B]]</f>
        <v>5.6029999999999998</v>
      </c>
      <c r="G84" s="48">
        <f>'Plantilla Datos'!D89</f>
        <v>7.3</v>
      </c>
      <c r="H84" s="48">
        <f>'Plantilla Datos'!E89</f>
        <v>9.1999999999999993</v>
      </c>
      <c r="I84" s="49">
        <f>'Plantilla Datos'!F89</f>
        <v>18.899999999999999</v>
      </c>
      <c r="J84" s="47">
        <f>CEILING('Plantilla Datos'!$L$3*TBL_CalcDarwin[[#This Row],[Darwin Gusts
m/s]],0.5)</f>
        <v>7</v>
      </c>
      <c r="K84" s="47">
        <f>CEILING('Plantilla Datos'!$L$4*TBL_CalcDarwin[[#This Row],[Darwin Gusts
m/s]],0.5)</f>
        <v>8</v>
      </c>
      <c r="L84" s="47">
        <f>CEILING(TBL_CalcDarwin[[#This Row],[Darwin Gusts
m/s]],0.5)</f>
        <v>9.5</v>
      </c>
      <c r="M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84" s="41">
        <f>INDEX(Curva_Temp[Temp],MATCH(TBL_CalcDarwin[[#This Row],[Darwin Temp.
°C]],Curva_Temp[Temp]))</f>
        <v>15</v>
      </c>
      <c r="R84" s="41">
        <f>INDEX(Curva_Temp[Warranted Power Curve for 
1.194Kg/m3 air density '[kW']
SG 5.0-145 (AM+1, 5.2MW) AT 
90M],MATCH(TBL_CalcDarwin[[#This Row],[Darwin Temp.
°C]],Curva_Temp[Temp]))</f>
        <v>5200</v>
      </c>
      <c r="S84" s="41" cm="1">
        <f t="array" ref="S84">INDEX(Curva_Temp[Temp],MATCH(TBL_CalcDarwin[[#This Row],[Darwin Temp.
°C]],Curva_Temp[Temp])+1)</f>
        <v>20</v>
      </c>
      <c r="T84" s="41" cm="1">
        <f t="array" ref="T84">INDEX(Curva_Temp[Warranted Power Curve for 
1.194Kg/m3 air density '[kW']
SG 5.0-145 (AM+1, 5.2MW) AT 
90M],MATCH(TBL_CalcDarwin[[#This Row],[Darwin Temp.
°C]],Curva_Temp[Temp])+1)</f>
        <v>5000</v>
      </c>
      <c r="U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84" s="41">
        <f>INDEX(Curva_Temp[Temp],MATCH(TBL_CalcDarwin[[#This Row],[Darwin Temp.
°C]],Curva_Temp[Temp]))</f>
        <v>15</v>
      </c>
      <c r="Z84" s="41">
        <f>INDEX(Curva_Temp[Warranted Power Curve for 
1.194Kg/m3 air density '[kW']
SG 5.0-145 (AM 0, 5.0MW) AT 
90M],MATCH(TBL_CalcDarwin[[#This Row],[Darwin Temp.
°C]],Curva_Temp[Temp]))</f>
        <v>5000</v>
      </c>
      <c r="AA84" s="41" cm="1">
        <f t="array" ref="AA84">INDEX(Curva_Temp[Temp],MATCH(TBL_CalcDarwin[[#This Row],[Darwin Temp.
°C]],Curva_Temp[Temp])+1)</f>
        <v>20</v>
      </c>
      <c r="AB84" s="41" cm="1">
        <f t="array" ref="AB84">INDEX(Curva_Temp[Warranted Power Curve for 
1.194Kg/m3 air density '[kW']
SG 5.0-145 (AM 0, 5.0MW) AT 
90M],MATCH(TBL_CalcDarwin[[#This Row],[Darwin Temp.
°C]],Curva_Temp[Temp])+1)</f>
        <v>5000</v>
      </c>
      <c r="AC84" s="45">
        <f>HLOOKUP(TBL_CalcDarwin[[#This Row],[Fecha]],'Plantilla AEG ES'!$E$1:$HX$13,2,FALSE)</f>
        <v>5</v>
      </c>
      <c r="AD84" s="45">
        <f>HLOOKUP(TBL_CalcDarwin[[#This Row],[Fecha]],'Plantilla AEG ES'!$E$1:$HX$13,3,FALSE)</f>
        <v>7</v>
      </c>
      <c r="AE84" s="45">
        <f>HLOOKUP(TBL_CalcDarwin[[#This Row],[Fecha]],'Plantilla AEG ES'!$E$1:$HX$13,4,FALSE)</f>
        <v>11</v>
      </c>
      <c r="AF84" s="45">
        <f>HLOOKUP(TBL_CalcDarwin[[#This Row],[Fecha]],'Plantilla AEG ES'!$E$1:$HX$13,5,FALSE)</f>
        <v>1</v>
      </c>
      <c r="AG84" s="45">
        <f>HLOOKUP(TBL_CalcDarwin[[#This Row],[Fecha]],'Plantilla AEG ES'!$E$1:$HX$13,6,FALSE)</f>
        <v>1</v>
      </c>
      <c r="AH84" s="45">
        <f>HLOOKUP(TBL_CalcDarwin[[#This Row],[Fecha]],'Plantilla AEG ES'!$E$1:$HX$13,7,FALSE)</f>
        <v>0</v>
      </c>
      <c r="AI84" s="46">
        <f>HLOOKUP(TBL_CalcDarwin[[#This Row],[Fecha]],'Plantilla AEG ES'!$E$1:$HX$13,8,FALSE)</f>
        <v>0</v>
      </c>
      <c r="AJ84" s="46">
        <f>HLOOKUP(TBL_CalcDarwin[[#This Row],[Fecha]],'Plantilla AEG ES'!$E$1:$HX$13,9,FALSE)</f>
        <v>3</v>
      </c>
      <c r="AK84" s="46">
        <f>HLOOKUP(TBL_CalcDarwin[[#This Row],[Fecha]],'Plantilla AEG ES'!$E$1:$HX$13,10,FALSE)</f>
        <v>12</v>
      </c>
      <c r="AL84" s="46">
        <f>HLOOKUP(TBL_CalcDarwin[[#This Row],[Fecha]],'Plantilla AEG ES'!$E$1:$HX$13,11,FALSE)</f>
        <v>1</v>
      </c>
      <c r="AM84" s="46">
        <f>HLOOKUP(TBL_CalcDarwin[[#This Row],[Fecha]],'Plantilla AEG ES'!$E$1:$HX$13,12,FALSE)</f>
        <v>7</v>
      </c>
      <c r="AN84" s="46">
        <f>HLOOKUP(TBL_CalcDarwin[[#This Row],[Fecha]],'Plantilla AEG ES'!$E$1:$HX$13,13,FALSE)</f>
        <v>1</v>
      </c>
      <c r="AO84" s="37">
        <f>TBL_CalcDarwin[[#This Row],[Lomitas - Barra A - 5.2 - Cerro]]+TBL_CalcDarwin[[#This Row],[Lomitas - Barra A - 5.2 - Medio]]+TBL_CalcDarwin[[#This Row],[Lomitas - Barra A - 5.2 - Mar]]</f>
        <v>23</v>
      </c>
      <c r="AP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84" s="37">
        <f>TBL_CalcDarwin[[#This Row],[Expansión - Barra A - 5.2 - Cerro]]+TBL_CalcDarwin[[#This Row],[Expansión - Barra A - 5.2 - Medio]]+TBL_CalcDarwin[[#This Row],[Expansión - Barra A - 5.2 - Mar]]</f>
        <v>2</v>
      </c>
      <c r="AT84" s="37">
        <f>TBL_CalcDarwin[[#This Row],[Expansión - Barra B - 5.2 - Cerro]]</f>
        <v>1</v>
      </c>
      <c r="AU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84" s="29">
        <f>TBL_CalcDarwin[[#This Row],[Expansión - Barra B - 5.2 - Cerro]]*TBL_CalcDarwin[[#This Row],[AEG 5.2 MW Cerro]]</f>
        <v>1.597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5">
        <f t="shared" si="6"/>
        <v>45587.458333333139</v>
      </c>
      <c r="C85" s="17">
        <f t="shared" si="8"/>
        <v>3.4583333333333295</v>
      </c>
      <c r="D85" s="34">
        <f>TBL_CalcDarwin[[#This Row],[Darwin PLOM
MW]]+TBL_CalcDarwin[[#This Row],[Darwin PLOME
MW]]</f>
        <v>179.61</v>
      </c>
      <c r="E85" s="34">
        <f>TBL_CalcDarwin[[#This Row],[PLOM MW TOTAL BARRA A]]+TBL_CalcDarwin[[#This Row],[PLOM MW TOTAL BARRA B]]</f>
        <v>173.53800000000001</v>
      </c>
      <c r="F85" s="34">
        <f>TBL_CalcDarwin[[#This Row],[PLOME MW TOTAL BARRA A]]+TBL_CalcDarwin[[#This Row],[PLOME MW TOTAL BARRA B]]</f>
        <v>6.0719999999999992</v>
      </c>
      <c r="G85" s="48">
        <f>'Plantilla Datos'!D90</f>
        <v>7.6</v>
      </c>
      <c r="H85" s="48">
        <f>'Plantilla Datos'!E90</f>
        <v>9.6</v>
      </c>
      <c r="I85" s="49">
        <f>'Plantilla Datos'!F90</f>
        <v>19.3</v>
      </c>
      <c r="J85" s="47">
        <f>CEILING('Plantilla Datos'!$L$3*TBL_CalcDarwin[[#This Row],[Darwin Gusts
m/s]],0.5)</f>
        <v>7</v>
      </c>
      <c r="K85" s="47">
        <f>CEILING('Plantilla Datos'!$L$4*TBL_CalcDarwin[[#This Row],[Darwin Gusts
m/s]],0.5)</f>
        <v>8.5</v>
      </c>
      <c r="L85" s="47">
        <f>CEILING(TBL_CalcDarwin[[#This Row],[Darwin Gusts
m/s]],0.5)</f>
        <v>10</v>
      </c>
      <c r="M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85" s="41">
        <f>INDEX(Curva_Temp[Temp],MATCH(TBL_CalcDarwin[[#This Row],[Darwin Temp.
°C]],Curva_Temp[Temp]))</f>
        <v>15</v>
      </c>
      <c r="R85" s="41">
        <f>INDEX(Curva_Temp[Warranted Power Curve for 
1.194Kg/m3 air density '[kW']
SG 5.0-145 (AM+1, 5.2MW) AT 
90M],MATCH(TBL_CalcDarwin[[#This Row],[Darwin Temp.
°C]],Curva_Temp[Temp]))</f>
        <v>5200</v>
      </c>
      <c r="S85" s="41" cm="1">
        <f t="array" ref="S85">INDEX(Curva_Temp[Temp],MATCH(TBL_CalcDarwin[[#This Row],[Darwin Temp.
°C]],Curva_Temp[Temp])+1)</f>
        <v>20</v>
      </c>
      <c r="T85" s="41" cm="1">
        <f t="array" ref="T85">INDEX(Curva_Temp[Warranted Power Curve for 
1.194Kg/m3 air density '[kW']
SG 5.0-145 (AM+1, 5.2MW) AT 
90M],MATCH(TBL_CalcDarwin[[#This Row],[Darwin Temp.
°C]],Curva_Temp[Temp])+1)</f>
        <v>5000</v>
      </c>
      <c r="U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85" s="41">
        <f>INDEX(Curva_Temp[Temp],MATCH(TBL_CalcDarwin[[#This Row],[Darwin Temp.
°C]],Curva_Temp[Temp]))</f>
        <v>15</v>
      </c>
      <c r="Z85" s="41">
        <f>INDEX(Curva_Temp[Warranted Power Curve for 
1.194Kg/m3 air density '[kW']
SG 5.0-145 (AM 0, 5.0MW) AT 
90M],MATCH(TBL_CalcDarwin[[#This Row],[Darwin Temp.
°C]],Curva_Temp[Temp]))</f>
        <v>5000</v>
      </c>
      <c r="AA85" s="41" cm="1">
        <f t="array" ref="AA85">INDEX(Curva_Temp[Temp],MATCH(TBL_CalcDarwin[[#This Row],[Darwin Temp.
°C]],Curva_Temp[Temp])+1)</f>
        <v>20</v>
      </c>
      <c r="AB85" s="41" cm="1">
        <f t="array" ref="AB85">INDEX(Curva_Temp[Warranted Power Curve for 
1.194Kg/m3 air density '[kW']
SG 5.0-145 (AM 0, 5.0MW) AT 
90M],MATCH(TBL_CalcDarwin[[#This Row],[Darwin Temp.
°C]],Curva_Temp[Temp])+1)</f>
        <v>5000</v>
      </c>
      <c r="AC85" s="45">
        <f>HLOOKUP(TBL_CalcDarwin[[#This Row],[Fecha]],'Plantilla AEG ES'!$E$1:$HX$13,2,FALSE)</f>
        <v>5</v>
      </c>
      <c r="AD85" s="45">
        <f>HLOOKUP(TBL_CalcDarwin[[#This Row],[Fecha]],'Plantilla AEG ES'!$E$1:$HX$13,3,FALSE)</f>
        <v>8</v>
      </c>
      <c r="AE85" s="45">
        <f>HLOOKUP(TBL_CalcDarwin[[#This Row],[Fecha]],'Plantilla AEG ES'!$E$1:$HX$13,4,FALSE)</f>
        <v>12</v>
      </c>
      <c r="AF85" s="45">
        <f>HLOOKUP(TBL_CalcDarwin[[#This Row],[Fecha]],'Plantilla AEG ES'!$E$1:$HX$13,5,FALSE)</f>
        <v>1</v>
      </c>
      <c r="AG85" s="45">
        <f>HLOOKUP(TBL_CalcDarwin[[#This Row],[Fecha]],'Plantilla AEG ES'!$E$1:$HX$13,6,FALSE)</f>
        <v>1</v>
      </c>
      <c r="AH85" s="45">
        <f>HLOOKUP(TBL_CalcDarwin[[#This Row],[Fecha]],'Plantilla AEG ES'!$E$1:$HX$13,7,FALSE)</f>
        <v>0</v>
      </c>
      <c r="AI85" s="46">
        <f>HLOOKUP(TBL_CalcDarwin[[#This Row],[Fecha]],'Plantilla AEG ES'!$E$1:$HX$13,8,FALSE)</f>
        <v>0</v>
      </c>
      <c r="AJ85" s="46">
        <f>HLOOKUP(TBL_CalcDarwin[[#This Row],[Fecha]],'Plantilla AEG ES'!$E$1:$HX$13,9,FALSE)</f>
        <v>3</v>
      </c>
      <c r="AK85" s="46">
        <f>HLOOKUP(TBL_CalcDarwin[[#This Row],[Fecha]],'Plantilla AEG ES'!$E$1:$HX$13,10,FALSE)</f>
        <v>12</v>
      </c>
      <c r="AL85" s="46">
        <f>HLOOKUP(TBL_CalcDarwin[[#This Row],[Fecha]],'Plantilla AEG ES'!$E$1:$HX$13,11,FALSE)</f>
        <v>1</v>
      </c>
      <c r="AM85" s="46">
        <f>HLOOKUP(TBL_CalcDarwin[[#This Row],[Fecha]],'Plantilla AEG ES'!$E$1:$HX$13,12,FALSE)</f>
        <v>7</v>
      </c>
      <c r="AN85" s="46">
        <f>HLOOKUP(TBL_CalcDarwin[[#This Row],[Fecha]],'Plantilla AEG ES'!$E$1:$HX$13,13,FALSE)</f>
        <v>1</v>
      </c>
      <c r="AO85" s="37">
        <f>TBL_CalcDarwin[[#This Row],[Lomitas - Barra A - 5.2 - Cerro]]+TBL_CalcDarwin[[#This Row],[Lomitas - Barra A - 5.2 - Medio]]+TBL_CalcDarwin[[#This Row],[Lomitas - Barra A - 5.2 - Mar]]</f>
        <v>25</v>
      </c>
      <c r="AP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85" s="37">
        <f>TBL_CalcDarwin[[#This Row],[Expansión - Barra A - 5.2 - Cerro]]+TBL_CalcDarwin[[#This Row],[Expansión - Barra A - 5.2 - Medio]]+TBL_CalcDarwin[[#This Row],[Expansión - Barra A - 5.2 - Mar]]</f>
        <v>2</v>
      </c>
      <c r="AT85" s="37">
        <f>TBL_CalcDarwin[[#This Row],[Expansión - Barra B - 5.2 - Cerro]]</f>
        <v>1</v>
      </c>
      <c r="AU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85" s="29">
        <f>TBL_CalcDarwin[[#This Row],[Expansión - Barra B - 5.2 - Cerro]]*TBL_CalcDarwin[[#This Row],[AEG 5.2 MW Cerro]]</f>
        <v>1.597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5">
        <f t="shared" si="6"/>
        <v>45587.499999999804</v>
      </c>
      <c r="C86" s="17">
        <f t="shared" si="8"/>
        <v>3.499999999999996</v>
      </c>
      <c r="D86" s="34">
        <f>TBL_CalcDarwin[[#This Row],[Darwin PLOM
MW]]+TBL_CalcDarwin[[#This Row],[Darwin PLOME
MW]]</f>
        <v>182.655</v>
      </c>
      <c r="E86" s="34">
        <f>TBL_CalcDarwin[[#This Row],[PLOM MW TOTAL BARRA A]]+TBL_CalcDarwin[[#This Row],[PLOM MW TOTAL BARRA B]]</f>
        <v>175.821</v>
      </c>
      <c r="F86" s="34">
        <f>TBL_CalcDarwin[[#This Row],[PLOME MW TOTAL BARRA A]]+TBL_CalcDarwin[[#This Row],[PLOME MW TOTAL BARRA B]]</f>
        <v>6.8339999999999996</v>
      </c>
      <c r="G86" s="48">
        <f>'Plantilla Datos'!D91</f>
        <v>7.9</v>
      </c>
      <c r="H86" s="48">
        <f>'Plantilla Datos'!E91</f>
        <v>9.9</v>
      </c>
      <c r="I86" s="49">
        <f>'Plantilla Datos'!F91</f>
        <v>19.7</v>
      </c>
      <c r="J86" s="47">
        <f>CEILING('Plantilla Datos'!$L$3*TBL_CalcDarwin[[#This Row],[Darwin Gusts
m/s]],0.5)</f>
        <v>7.5</v>
      </c>
      <c r="K86" s="47">
        <f>CEILING('Plantilla Datos'!$L$4*TBL_CalcDarwin[[#This Row],[Darwin Gusts
m/s]],0.5)</f>
        <v>8.5</v>
      </c>
      <c r="L86" s="47">
        <f>CEILING(TBL_CalcDarwin[[#This Row],[Darwin Gusts
m/s]],0.5)</f>
        <v>10</v>
      </c>
      <c r="M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86" s="41">
        <f>INDEX(Curva_Temp[Temp],MATCH(TBL_CalcDarwin[[#This Row],[Darwin Temp.
°C]],Curva_Temp[Temp]))</f>
        <v>15</v>
      </c>
      <c r="R86" s="41">
        <f>INDEX(Curva_Temp[Warranted Power Curve for 
1.194Kg/m3 air density '[kW']
SG 5.0-145 (AM+1, 5.2MW) AT 
90M],MATCH(TBL_CalcDarwin[[#This Row],[Darwin Temp.
°C]],Curva_Temp[Temp]))</f>
        <v>5200</v>
      </c>
      <c r="S86" s="41" cm="1">
        <f t="array" ref="S86">INDEX(Curva_Temp[Temp],MATCH(TBL_CalcDarwin[[#This Row],[Darwin Temp.
°C]],Curva_Temp[Temp])+1)</f>
        <v>20</v>
      </c>
      <c r="T86" s="41" cm="1">
        <f t="array" ref="T86">INDEX(Curva_Temp[Warranted Power Curve for 
1.194Kg/m3 air density '[kW']
SG 5.0-145 (AM+1, 5.2MW) AT 
90M],MATCH(TBL_CalcDarwin[[#This Row],[Darwin Temp.
°C]],Curva_Temp[Temp])+1)</f>
        <v>5000</v>
      </c>
      <c r="U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86" s="41">
        <f>INDEX(Curva_Temp[Temp],MATCH(TBL_CalcDarwin[[#This Row],[Darwin Temp.
°C]],Curva_Temp[Temp]))</f>
        <v>15</v>
      </c>
      <c r="Z86" s="41">
        <f>INDEX(Curva_Temp[Warranted Power Curve for 
1.194Kg/m3 air density '[kW']
SG 5.0-145 (AM 0, 5.0MW) AT 
90M],MATCH(TBL_CalcDarwin[[#This Row],[Darwin Temp.
°C]],Curva_Temp[Temp]))</f>
        <v>5000</v>
      </c>
      <c r="AA86" s="41" cm="1">
        <f t="array" ref="AA86">INDEX(Curva_Temp[Temp],MATCH(TBL_CalcDarwin[[#This Row],[Darwin Temp.
°C]],Curva_Temp[Temp])+1)</f>
        <v>20</v>
      </c>
      <c r="AB86" s="41" cm="1">
        <f t="array" ref="AB86">INDEX(Curva_Temp[Warranted Power Curve for 
1.194Kg/m3 air density '[kW']
SG 5.0-145 (AM 0, 5.0MW) AT 
90M],MATCH(TBL_CalcDarwin[[#This Row],[Darwin Temp.
°C]],Curva_Temp[Temp])+1)</f>
        <v>5000</v>
      </c>
      <c r="AC86" s="45">
        <f>HLOOKUP(TBL_CalcDarwin[[#This Row],[Fecha]],'Plantilla AEG ES'!$E$1:$HX$13,2,FALSE)</f>
        <v>5</v>
      </c>
      <c r="AD86" s="45">
        <f>HLOOKUP(TBL_CalcDarwin[[#This Row],[Fecha]],'Plantilla AEG ES'!$E$1:$HX$13,3,FALSE)</f>
        <v>8</v>
      </c>
      <c r="AE86" s="45">
        <f>HLOOKUP(TBL_CalcDarwin[[#This Row],[Fecha]],'Plantilla AEG ES'!$E$1:$HX$13,4,FALSE)</f>
        <v>12</v>
      </c>
      <c r="AF86" s="45">
        <f>HLOOKUP(TBL_CalcDarwin[[#This Row],[Fecha]],'Plantilla AEG ES'!$E$1:$HX$13,5,FALSE)</f>
        <v>1</v>
      </c>
      <c r="AG86" s="45">
        <f>HLOOKUP(TBL_CalcDarwin[[#This Row],[Fecha]],'Plantilla AEG ES'!$E$1:$HX$13,6,FALSE)</f>
        <v>1</v>
      </c>
      <c r="AH86" s="45">
        <f>HLOOKUP(TBL_CalcDarwin[[#This Row],[Fecha]],'Plantilla AEG ES'!$E$1:$HX$13,7,FALSE)</f>
        <v>0</v>
      </c>
      <c r="AI86" s="46">
        <f>HLOOKUP(TBL_CalcDarwin[[#This Row],[Fecha]],'Plantilla AEG ES'!$E$1:$HX$13,8,FALSE)</f>
        <v>0</v>
      </c>
      <c r="AJ86" s="46">
        <f>HLOOKUP(TBL_CalcDarwin[[#This Row],[Fecha]],'Plantilla AEG ES'!$E$1:$HX$13,9,FALSE)</f>
        <v>3</v>
      </c>
      <c r="AK86" s="46">
        <f>HLOOKUP(TBL_CalcDarwin[[#This Row],[Fecha]],'Plantilla AEG ES'!$E$1:$HX$13,10,FALSE)</f>
        <v>12</v>
      </c>
      <c r="AL86" s="46">
        <f>HLOOKUP(TBL_CalcDarwin[[#This Row],[Fecha]],'Plantilla AEG ES'!$E$1:$HX$13,11,FALSE)</f>
        <v>1</v>
      </c>
      <c r="AM86" s="46">
        <f>HLOOKUP(TBL_CalcDarwin[[#This Row],[Fecha]],'Plantilla AEG ES'!$E$1:$HX$13,12,FALSE)</f>
        <v>7</v>
      </c>
      <c r="AN86" s="46">
        <f>HLOOKUP(TBL_CalcDarwin[[#This Row],[Fecha]],'Plantilla AEG ES'!$E$1:$HX$13,13,FALSE)</f>
        <v>1</v>
      </c>
      <c r="AO86" s="37">
        <f>TBL_CalcDarwin[[#This Row],[Lomitas - Barra A - 5.2 - Cerro]]+TBL_CalcDarwin[[#This Row],[Lomitas - Barra A - 5.2 - Medio]]+TBL_CalcDarwin[[#This Row],[Lomitas - Barra A - 5.2 - Mar]]</f>
        <v>25</v>
      </c>
      <c r="AP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86" s="37">
        <f>TBL_CalcDarwin[[#This Row],[Expansión - Barra A - 5.2 - Cerro]]+TBL_CalcDarwin[[#This Row],[Expansión - Barra A - 5.2 - Medio]]+TBL_CalcDarwin[[#This Row],[Expansión - Barra A - 5.2 - Mar]]</f>
        <v>2</v>
      </c>
      <c r="AT86" s="37">
        <f>TBL_CalcDarwin[[#This Row],[Expansión - Barra B - 5.2 - Cerro]]</f>
        <v>1</v>
      </c>
      <c r="AU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86" s="29">
        <f>TBL_CalcDarwin[[#This Row],[Expansión - Barra B - 5.2 - Cerro]]*TBL_CalcDarwin[[#This Row],[AEG 5.2 MW Cerro]]</f>
        <v>1.978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5">
        <f t="shared" si="6"/>
        <v>45587.541666666468</v>
      </c>
      <c r="C87" s="17">
        <f t="shared" si="8"/>
        <v>3.5416666666666625</v>
      </c>
      <c r="D87" s="34">
        <f>TBL_CalcDarwin[[#This Row],[Darwin PLOM
MW]]+TBL_CalcDarwin[[#This Row],[Darwin PLOME
MW]]</f>
        <v>199.93799999999999</v>
      </c>
      <c r="E87" s="34">
        <f>TBL_CalcDarwin[[#This Row],[PLOM MW TOTAL BARRA A]]+TBL_CalcDarwin[[#This Row],[PLOM MW TOTAL BARRA B]]</f>
        <v>192.61599999999999</v>
      </c>
      <c r="F87" s="34">
        <f>TBL_CalcDarwin[[#This Row],[PLOME MW TOTAL BARRA A]]+TBL_CalcDarwin[[#This Row],[PLOME MW TOTAL BARRA B]]</f>
        <v>7.3220000000000001</v>
      </c>
      <c r="G87" s="48">
        <f>'Plantilla Datos'!D92</f>
        <v>8.1999999999999993</v>
      </c>
      <c r="H87" s="48">
        <f>'Plantilla Datos'!E92</f>
        <v>10.199999999999999</v>
      </c>
      <c r="I87" s="49">
        <f>'Plantilla Datos'!F92</f>
        <v>20</v>
      </c>
      <c r="J87" s="47">
        <f>CEILING('Plantilla Datos'!$L$3*TBL_CalcDarwin[[#This Row],[Darwin Gusts
m/s]],0.5)</f>
        <v>7.5</v>
      </c>
      <c r="K87" s="47">
        <f>CEILING('Plantilla Datos'!$L$4*TBL_CalcDarwin[[#This Row],[Darwin Gusts
m/s]],0.5)</f>
        <v>9</v>
      </c>
      <c r="L87" s="47">
        <f>CEILING(TBL_CalcDarwin[[#This Row],[Darwin Gusts
m/s]],0.5)</f>
        <v>10.5</v>
      </c>
      <c r="M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87" s="41">
        <f>INDEX(Curva_Temp[Temp],MATCH(TBL_CalcDarwin[[#This Row],[Darwin Temp.
°C]],Curva_Temp[Temp]))</f>
        <v>20</v>
      </c>
      <c r="R87" s="41">
        <f>INDEX(Curva_Temp[Warranted Power Curve for 
1.194Kg/m3 air density '[kW']
SG 5.0-145 (AM+1, 5.2MW) AT 
90M],MATCH(TBL_CalcDarwin[[#This Row],[Darwin Temp.
°C]],Curva_Temp[Temp]))</f>
        <v>5000</v>
      </c>
      <c r="S87" s="41" cm="1">
        <f t="array" ref="S87">INDEX(Curva_Temp[Temp],MATCH(TBL_CalcDarwin[[#This Row],[Darwin Temp.
°C]],Curva_Temp[Temp])+1)</f>
        <v>25</v>
      </c>
      <c r="T87" s="41" cm="1">
        <f t="array" ref="T87">INDEX(Curva_Temp[Warranted Power Curve for 
1.194Kg/m3 air density '[kW']
SG 5.0-145 (AM+1, 5.2MW) AT 
90M],MATCH(TBL_CalcDarwin[[#This Row],[Darwin Temp.
°C]],Curva_Temp[Temp])+1)</f>
        <v>4900</v>
      </c>
      <c r="U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87" s="41">
        <f>INDEX(Curva_Temp[Temp],MATCH(TBL_CalcDarwin[[#This Row],[Darwin Temp.
°C]],Curva_Temp[Temp]))</f>
        <v>20</v>
      </c>
      <c r="Z87" s="41">
        <f>INDEX(Curva_Temp[Warranted Power Curve for 
1.194Kg/m3 air density '[kW']
SG 5.0-145 (AM 0, 5.0MW) AT 
90M],MATCH(TBL_CalcDarwin[[#This Row],[Darwin Temp.
°C]],Curva_Temp[Temp]))</f>
        <v>5000</v>
      </c>
      <c r="AA87" s="41" cm="1">
        <f t="array" ref="AA87">INDEX(Curva_Temp[Temp],MATCH(TBL_CalcDarwin[[#This Row],[Darwin Temp.
°C]],Curva_Temp[Temp])+1)</f>
        <v>25</v>
      </c>
      <c r="AB87" s="41" cm="1">
        <f t="array" ref="AB87">INDEX(Curva_Temp[Warranted Power Curve for 
1.194Kg/m3 air density '[kW']
SG 5.0-145 (AM 0, 5.0MW) AT 
90M],MATCH(TBL_CalcDarwin[[#This Row],[Darwin Temp.
°C]],Curva_Temp[Temp])+1)</f>
        <v>4900</v>
      </c>
      <c r="AC87" s="45">
        <f>HLOOKUP(TBL_CalcDarwin[[#This Row],[Fecha]],'Plantilla AEG ES'!$E$1:$HX$13,2,FALSE)</f>
        <v>5</v>
      </c>
      <c r="AD87" s="45">
        <f>HLOOKUP(TBL_CalcDarwin[[#This Row],[Fecha]],'Plantilla AEG ES'!$E$1:$HX$13,3,FALSE)</f>
        <v>8</v>
      </c>
      <c r="AE87" s="45">
        <f>HLOOKUP(TBL_CalcDarwin[[#This Row],[Fecha]],'Plantilla AEG ES'!$E$1:$HX$13,4,FALSE)</f>
        <v>12</v>
      </c>
      <c r="AF87" s="45">
        <f>HLOOKUP(TBL_CalcDarwin[[#This Row],[Fecha]],'Plantilla AEG ES'!$E$1:$HX$13,5,FALSE)</f>
        <v>1</v>
      </c>
      <c r="AG87" s="45">
        <f>HLOOKUP(TBL_CalcDarwin[[#This Row],[Fecha]],'Plantilla AEG ES'!$E$1:$HX$13,6,FALSE)</f>
        <v>1</v>
      </c>
      <c r="AH87" s="45">
        <f>HLOOKUP(TBL_CalcDarwin[[#This Row],[Fecha]],'Plantilla AEG ES'!$E$1:$HX$13,7,FALSE)</f>
        <v>0</v>
      </c>
      <c r="AI87" s="46">
        <f>HLOOKUP(TBL_CalcDarwin[[#This Row],[Fecha]],'Plantilla AEG ES'!$E$1:$HX$13,8,FALSE)</f>
        <v>0</v>
      </c>
      <c r="AJ87" s="46">
        <f>HLOOKUP(TBL_CalcDarwin[[#This Row],[Fecha]],'Plantilla AEG ES'!$E$1:$HX$13,9,FALSE)</f>
        <v>3</v>
      </c>
      <c r="AK87" s="46">
        <f>HLOOKUP(TBL_CalcDarwin[[#This Row],[Fecha]],'Plantilla AEG ES'!$E$1:$HX$13,10,FALSE)</f>
        <v>12</v>
      </c>
      <c r="AL87" s="46">
        <f>HLOOKUP(TBL_CalcDarwin[[#This Row],[Fecha]],'Plantilla AEG ES'!$E$1:$HX$13,11,FALSE)</f>
        <v>1</v>
      </c>
      <c r="AM87" s="46">
        <f>HLOOKUP(TBL_CalcDarwin[[#This Row],[Fecha]],'Plantilla AEG ES'!$E$1:$HX$13,12,FALSE)</f>
        <v>7</v>
      </c>
      <c r="AN87" s="46">
        <f>HLOOKUP(TBL_CalcDarwin[[#This Row],[Fecha]],'Plantilla AEG ES'!$E$1:$HX$13,13,FALSE)</f>
        <v>1</v>
      </c>
      <c r="AO87" s="37">
        <f>TBL_CalcDarwin[[#This Row],[Lomitas - Barra A - 5.2 - Cerro]]+TBL_CalcDarwin[[#This Row],[Lomitas - Barra A - 5.2 - Medio]]+TBL_CalcDarwin[[#This Row],[Lomitas - Barra A - 5.2 - Mar]]</f>
        <v>25</v>
      </c>
      <c r="AP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87" s="37">
        <f>TBL_CalcDarwin[[#This Row],[Expansión - Barra A - 5.2 - Cerro]]+TBL_CalcDarwin[[#This Row],[Expansión - Barra A - 5.2 - Medio]]+TBL_CalcDarwin[[#This Row],[Expansión - Barra A - 5.2 - Mar]]</f>
        <v>2</v>
      </c>
      <c r="AT87" s="37">
        <f>TBL_CalcDarwin[[#This Row],[Expansión - Barra B - 5.2 - Cerro]]</f>
        <v>1</v>
      </c>
      <c r="AU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87" s="29">
        <f>TBL_CalcDarwin[[#This Row],[Expansión - Barra B - 5.2 - Cerro]]*TBL_CalcDarwin[[#This Row],[AEG 5.2 MW Cerro]]</f>
        <v>1.978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5">
        <f t="shared" si="6"/>
        <v>45587.583333333132</v>
      </c>
      <c r="C88" s="17">
        <f t="shared" si="8"/>
        <v>3.583333333333329</v>
      </c>
      <c r="D88" s="34">
        <f>TBL_CalcDarwin[[#This Row],[Darwin PLOM
MW]]+TBL_CalcDarwin[[#This Row],[Darwin PLOME
MW]]</f>
        <v>199.93799999999999</v>
      </c>
      <c r="E88" s="34">
        <f>TBL_CalcDarwin[[#This Row],[PLOM MW TOTAL BARRA A]]+TBL_CalcDarwin[[#This Row],[PLOM MW TOTAL BARRA B]]</f>
        <v>192.61599999999999</v>
      </c>
      <c r="F88" s="34">
        <f>TBL_CalcDarwin[[#This Row],[PLOME MW TOTAL BARRA A]]+TBL_CalcDarwin[[#This Row],[PLOME MW TOTAL BARRA B]]</f>
        <v>7.3220000000000001</v>
      </c>
      <c r="G88" s="48">
        <f>'Plantilla Datos'!D93</f>
        <v>8.1999999999999993</v>
      </c>
      <c r="H88" s="48">
        <f>'Plantilla Datos'!E93</f>
        <v>10.3</v>
      </c>
      <c r="I88" s="49">
        <f>'Plantilla Datos'!F93</f>
        <v>19.899999999999999</v>
      </c>
      <c r="J88" s="47">
        <f>CEILING('Plantilla Datos'!$L$3*TBL_CalcDarwin[[#This Row],[Darwin Gusts
m/s]],0.5)</f>
        <v>7.5</v>
      </c>
      <c r="K88" s="47">
        <f>CEILING('Plantilla Datos'!$L$4*TBL_CalcDarwin[[#This Row],[Darwin Gusts
m/s]],0.5)</f>
        <v>9</v>
      </c>
      <c r="L88" s="47">
        <f>CEILING(TBL_CalcDarwin[[#This Row],[Darwin Gusts
m/s]],0.5)</f>
        <v>10.5</v>
      </c>
      <c r="M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88" s="41">
        <f>INDEX(Curva_Temp[Temp],MATCH(TBL_CalcDarwin[[#This Row],[Darwin Temp.
°C]],Curva_Temp[Temp]))</f>
        <v>15</v>
      </c>
      <c r="R88" s="41">
        <f>INDEX(Curva_Temp[Warranted Power Curve for 
1.194Kg/m3 air density '[kW']
SG 5.0-145 (AM+1, 5.2MW) AT 
90M],MATCH(TBL_CalcDarwin[[#This Row],[Darwin Temp.
°C]],Curva_Temp[Temp]))</f>
        <v>5200</v>
      </c>
      <c r="S88" s="41" cm="1">
        <f t="array" ref="S88">INDEX(Curva_Temp[Temp],MATCH(TBL_CalcDarwin[[#This Row],[Darwin Temp.
°C]],Curva_Temp[Temp])+1)</f>
        <v>20</v>
      </c>
      <c r="T88" s="41" cm="1">
        <f t="array" ref="T88">INDEX(Curva_Temp[Warranted Power Curve for 
1.194Kg/m3 air density '[kW']
SG 5.0-145 (AM+1, 5.2MW) AT 
90M],MATCH(TBL_CalcDarwin[[#This Row],[Darwin Temp.
°C]],Curva_Temp[Temp])+1)</f>
        <v>5000</v>
      </c>
      <c r="U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88" s="41">
        <f>INDEX(Curva_Temp[Temp],MATCH(TBL_CalcDarwin[[#This Row],[Darwin Temp.
°C]],Curva_Temp[Temp]))</f>
        <v>15</v>
      </c>
      <c r="Z88" s="41">
        <f>INDEX(Curva_Temp[Warranted Power Curve for 
1.194Kg/m3 air density '[kW']
SG 5.0-145 (AM 0, 5.0MW) AT 
90M],MATCH(TBL_CalcDarwin[[#This Row],[Darwin Temp.
°C]],Curva_Temp[Temp]))</f>
        <v>5000</v>
      </c>
      <c r="AA88" s="41" cm="1">
        <f t="array" ref="AA88">INDEX(Curva_Temp[Temp],MATCH(TBL_CalcDarwin[[#This Row],[Darwin Temp.
°C]],Curva_Temp[Temp])+1)</f>
        <v>20</v>
      </c>
      <c r="AB88" s="41" cm="1">
        <f t="array" ref="AB88">INDEX(Curva_Temp[Warranted Power Curve for 
1.194Kg/m3 air density '[kW']
SG 5.0-145 (AM 0, 5.0MW) AT 
90M],MATCH(TBL_CalcDarwin[[#This Row],[Darwin Temp.
°C]],Curva_Temp[Temp])+1)</f>
        <v>5000</v>
      </c>
      <c r="AC88" s="45">
        <f>HLOOKUP(TBL_CalcDarwin[[#This Row],[Fecha]],'Plantilla AEG ES'!$E$1:$HX$13,2,FALSE)</f>
        <v>5</v>
      </c>
      <c r="AD88" s="45">
        <f>HLOOKUP(TBL_CalcDarwin[[#This Row],[Fecha]],'Plantilla AEG ES'!$E$1:$HX$13,3,FALSE)</f>
        <v>8</v>
      </c>
      <c r="AE88" s="45">
        <f>HLOOKUP(TBL_CalcDarwin[[#This Row],[Fecha]],'Plantilla AEG ES'!$E$1:$HX$13,4,FALSE)</f>
        <v>12</v>
      </c>
      <c r="AF88" s="45">
        <f>HLOOKUP(TBL_CalcDarwin[[#This Row],[Fecha]],'Plantilla AEG ES'!$E$1:$HX$13,5,FALSE)</f>
        <v>1</v>
      </c>
      <c r="AG88" s="45">
        <f>HLOOKUP(TBL_CalcDarwin[[#This Row],[Fecha]],'Plantilla AEG ES'!$E$1:$HX$13,6,FALSE)</f>
        <v>1</v>
      </c>
      <c r="AH88" s="45">
        <f>HLOOKUP(TBL_CalcDarwin[[#This Row],[Fecha]],'Plantilla AEG ES'!$E$1:$HX$13,7,FALSE)</f>
        <v>0</v>
      </c>
      <c r="AI88" s="46">
        <f>HLOOKUP(TBL_CalcDarwin[[#This Row],[Fecha]],'Plantilla AEG ES'!$E$1:$HX$13,8,FALSE)</f>
        <v>0</v>
      </c>
      <c r="AJ88" s="46">
        <f>HLOOKUP(TBL_CalcDarwin[[#This Row],[Fecha]],'Plantilla AEG ES'!$E$1:$HX$13,9,FALSE)</f>
        <v>3</v>
      </c>
      <c r="AK88" s="46">
        <f>HLOOKUP(TBL_CalcDarwin[[#This Row],[Fecha]],'Plantilla AEG ES'!$E$1:$HX$13,10,FALSE)</f>
        <v>12</v>
      </c>
      <c r="AL88" s="46">
        <f>HLOOKUP(TBL_CalcDarwin[[#This Row],[Fecha]],'Plantilla AEG ES'!$E$1:$HX$13,11,FALSE)</f>
        <v>1</v>
      </c>
      <c r="AM88" s="46">
        <f>HLOOKUP(TBL_CalcDarwin[[#This Row],[Fecha]],'Plantilla AEG ES'!$E$1:$HX$13,12,FALSE)</f>
        <v>7</v>
      </c>
      <c r="AN88" s="46">
        <f>HLOOKUP(TBL_CalcDarwin[[#This Row],[Fecha]],'Plantilla AEG ES'!$E$1:$HX$13,13,FALSE)</f>
        <v>1</v>
      </c>
      <c r="AO88" s="37">
        <f>TBL_CalcDarwin[[#This Row],[Lomitas - Barra A - 5.2 - Cerro]]+TBL_CalcDarwin[[#This Row],[Lomitas - Barra A - 5.2 - Medio]]+TBL_CalcDarwin[[#This Row],[Lomitas - Barra A - 5.2 - Mar]]</f>
        <v>25</v>
      </c>
      <c r="AP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88" s="37">
        <f>TBL_CalcDarwin[[#This Row],[Expansión - Barra A - 5.2 - Cerro]]+TBL_CalcDarwin[[#This Row],[Expansión - Barra A - 5.2 - Medio]]+TBL_CalcDarwin[[#This Row],[Expansión - Barra A - 5.2 - Mar]]</f>
        <v>2</v>
      </c>
      <c r="AT88" s="37">
        <f>TBL_CalcDarwin[[#This Row],[Expansión - Barra B - 5.2 - Cerro]]</f>
        <v>1</v>
      </c>
      <c r="AU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88" s="29">
        <f>TBL_CalcDarwin[[#This Row],[Expansión - Barra B - 5.2 - Cerro]]*TBL_CalcDarwin[[#This Row],[AEG 5.2 MW Cerro]]</f>
        <v>1.978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5">
        <f t="shared" si="6"/>
        <v>45587.624999999796</v>
      </c>
      <c r="C89" s="17">
        <f t="shared" si="8"/>
        <v>3.6249999999999956</v>
      </c>
      <c r="D89" s="34">
        <f>TBL_CalcDarwin[[#This Row],[Darwin PLOM
MW]]+TBL_CalcDarwin[[#This Row],[Darwin PLOME
MW]]</f>
        <v>203.38</v>
      </c>
      <c r="E89" s="34">
        <f>TBL_CalcDarwin[[#This Row],[PLOM MW TOTAL BARRA A]]+TBL_CalcDarwin[[#This Row],[PLOM MW TOTAL BARRA B]]</f>
        <v>195.196</v>
      </c>
      <c r="F89" s="34">
        <f>TBL_CalcDarwin[[#This Row],[PLOME MW TOTAL BARRA A]]+TBL_CalcDarwin[[#This Row],[PLOME MW TOTAL BARRA B]]</f>
        <v>8.1840000000000011</v>
      </c>
      <c r="G89" s="48">
        <f>'Plantilla Datos'!D94</f>
        <v>8.3000000000000007</v>
      </c>
      <c r="H89" s="48">
        <f>'Plantilla Datos'!E94</f>
        <v>10.4</v>
      </c>
      <c r="I89" s="49">
        <f>'Plantilla Datos'!F94</f>
        <v>19.7</v>
      </c>
      <c r="J89" s="47">
        <f>CEILING('Plantilla Datos'!$L$3*TBL_CalcDarwin[[#This Row],[Darwin Gusts
m/s]],0.5)</f>
        <v>8</v>
      </c>
      <c r="K89" s="47">
        <f>CEILING('Plantilla Datos'!$L$4*TBL_CalcDarwin[[#This Row],[Darwin Gusts
m/s]],0.5)</f>
        <v>9</v>
      </c>
      <c r="L89" s="47">
        <f>CEILING(TBL_CalcDarwin[[#This Row],[Darwin Gusts
m/s]],0.5)</f>
        <v>10.5</v>
      </c>
      <c r="M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89" s="41">
        <f>INDEX(Curva_Temp[Temp],MATCH(TBL_CalcDarwin[[#This Row],[Darwin Temp.
°C]],Curva_Temp[Temp]))</f>
        <v>15</v>
      </c>
      <c r="R89" s="41">
        <f>INDEX(Curva_Temp[Warranted Power Curve for 
1.194Kg/m3 air density '[kW']
SG 5.0-145 (AM+1, 5.2MW) AT 
90M],MATCH(TBL_CalcDarwin[[#This Row],[Darwin Temp.
°C]],Curva_Temp[Temp]))</f>
        <v>5200</v>
      </c>
      <c r="S89" s="41" cm="1">
        <f t="array" ref="S89">INDEX(Curva_Temp[Temp],MATCH(TBL_CalcDarwin[[#This Row],[Darwin Temp.
°C]],Curva_Temp[Temp])+1)</f>
        <v>20</v>
      </c>
      <c r="T89" s="41" cm="1">
        <f t="array" ref="T89">INDEX(Curva_Temp[Warranted Power Curve for 
1.194Kg/m3 air density '[kW']
SG 5.0-145 (AM+1, 5.2MW) AT 
90M],MATCH(TBL_CalcDarwin[[#This Row],[Darwin Temp.
°C]],Curva_Temp[Temp])+1)</f>
        <v>5000</v>
      </c>
      <c r="U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89" s="41">
        <f>INDEX(Curva_Temp[Temp],MATCH(TBL_CalcDarwin[[#This Row],[Darwin Temp.
°C]],Curva_Temp[Temp]))</f>
        <v>15</v>
      </c>
      <c r="Z89" s="41">
        <f>INDEX(Curva_Temp[Warranted Power Curve for 
1.194Kg/m3 air density '[kW']
SG 5.0-145 (AM 0, 5.0MW) AT 
90M],MATCH(TBL_CalcDarwin[[#This Row],[Darwin Temp.
°C]],Curva_Temp[Temp]))</f>
        <v>5000</v>
      </c>
      <c r="AA89" s="41" cm="1">
        <f t="array" ref="AA89">INDEX(Curva_Temp[Temp],MATCH(TBL_CalcDarwin[[#This Row],[Darwin Temp.
°C]],Curva_Temp[Temp])+1)</f>
        <v>20</v>
      </c>
      <c r="AB89" s="41" cm="1">
        <f t="array" ref="AB89">INDEX(Curva_Temp[Warranted Power Curve for 
1.194Kg/m3 air density '[kW']
SG 5.0-145 (AM 0, 5.0MW) AT 
90M],MATCH(TBL_CalcDarwin[[#This Row],[Darwin Temp.
°C]],Curva_Temp[Temp])+1)</f>
        <v>5000</v>
      </c>
      <c r="AC89" s="45">
        <f>HLOOKUP(TBL_CalcDarwin[[#This Row],[Fecha]],'Plantilla AEG ES'!$E$1:$HX$13,2,FALSE)</f>
        <v>5</v>
      </c>
      <c r="AD89" s="45">
        <f>HLOOKUP(TBL_CalcDarwin[[#This Row],[Fecha]],'Plantilla AEG ES'!$E$1:$HX$13,3,FALSE)</f>
        <v>8</v>
      </c>
      <c r="AE89" s="45">
        <f>HLOOKUP(TBL_CalcDarwin[[#This Row],[Fecha]],'Plantilla AEG ES'!$E$1:$HX$13,4,FALSE)</f>
        <v>12</v>
      </c>
      <c r="AF89" s="45">
        <f>HLOOKUP(TBL_CalcDarwin[[#This Row],[Fecha]],'Plantilla AEG ES'!$E$1:$HX$13,5,FALSE)</f>
        <v>1</v>
      </c>
      <c r="AG89" s="45">
        <f>HLOOKUP(TBL_CalcDarwin[[#This Row],[Fecha]],'Plantilla AEG ES'!$E$1:$HX$13,6,FALSE)</f>
        <v>1</v>
      </c>
      <c r="AH89" s="45">
        <f>HLOOKUP(TBL_CalcDarwin[[#This Row],[Fecha]],'Plantilla AEG ES'!$E$1:$HX$13,7,FALSE)</f>
        <v>0</v>
      </c>
      <c r="AI89" s="46">
        <f>HLOOKUP(TBL_CalcDarwin[[#This Row],[Fecha]],'Plantilla AEG ES'!$E$1:$HX$13,8,FALSE)</f>
        <v>0</v>
      </c>
      <c r="AJ89" s="46">
        <f>HLOOKUP(TBL_CalcDarwin[[#This Row],[Fecha]],'Plantilla AEG ES'!$E$1:$HX$13,9,FALSE)</f>
        <v>3</v>
      </c>
      <c r="AK89" s="46">
        <f>HLOOKUP(TBL_CalcDarwin[[#This Row],[Fecha]],'Plantilla AEG ES'!$E$1:$HX$13,10,FALSE)</f>
        <v>12</v>
      </c>
      <c r="AL89" s="46">
        <f>HLOOKUP(TBL_CalcDarwin[[#This Row],[Fecha]],'Plantilla AEG ES'!$E$1:$HX$13,11,FALSE)</f>
        <v>1</v>
      </c>
      <c r="AM89" s="46">
        <f>HLOOKUP(TBL_CalcDarwin[[#This Row],[Fecha]],'Plantilla AEG ES'!$E$1:$HX$13,12,FALSE)</f>
        <v>7</v>
      </c>
      <c r="AN89" s="46">
        <f>HLOOKUP(TBL_CalcDarwin[[#This Row],[Fecha]],'Plantilla AEG ES'!$E$1:$HX$13,13,FALSE)</f>
        <v>1</v>
      </c>
      <c r="AO89" s="37">
        <f>TBL_CalcDarwin[[#This Row],[Lomitas - Barra A - 5.2 - Cerro]]+TBL_CalcDarwin[[#This Row],[Lomitas - Barra A - 5.2 - Medio]]+TBL_CalcDarwin[[#This Row],[Lomitas - Barra A - 5.2 - Mar]]</f>
        <v>25</v>
      </c>
      <c r="AP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89" s="37">
        <f>TBL_CalcDarwin[[#This Row],[Expansión - Barra A - 5.2 - Cerro]]+TBL_CalcDarwin[[#This Row],[Expansión - Barra A - 5.2 - Medio]]+TBL_CalcDarwin[[#This Row],[Expansión - Barra A - 5.2 - Mar]]</f>
        <v>2</v>
      </c>
      <c r="AT89" s="37">
        <f>TBL_CalcDarwin[[#This Row],[Expansión - Barra B - 5.2 - Cerro]]</f>
        <v>1</v>
      </c>
      <c r="AU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89" s="29">
        <f>TBL_CalcDarwin[[#This Row],[Expansión - Barra B - 5.2 - Cerro]]*TBL_CalcDarwin[[#This Row],[AEG 5.2 MW Cerro]]</f>
        <v>2.4089999999999998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5">
        <f t="shared" si="6"/>
        <v>45587.666666666461</v>
      </c>
      <c r="C90" s="17">
        <f t="shared" si="8"/>
        <v>3.6666666666666621</v>
      </c>
      <c r="D90" s="34">
        <f>TBL_CalcDarwin[[#This Row],[Darwin PLOM
MW]]+TBL_CalcDarwin[[#This Row],[Darwin PLOME
MW]]</f>
        <v>203.38</v>
      </c>
      <c r="E90" s="34">
        <f>TBL_CalcDarwin[[#This Row],[PLOM MW TOTAL BARRA A]]+TBL_CalcDarwin[[#This Row],[PLOM MW TOTAL BARRA B]]</f>
        <v>195.196</v>
      </c>
      <c r="F90" s="34">
        <f>TBL_CalcDarwin[[#This Row],[PLOME MW TOTAL BARRA A]]+TBL_CalcDarwin[[#This Row],[PLOME MW TOTAL BARRA B]]</f>
        <v>8.1840000000000011</v>
      </c>
      <c r="G90" s="48">
        <f>'Plantilla Datos'!D95</f>
        <v>8.4</v>
      </c>
      <c r="H90" s="48">
        <f>'Plantilla Datos'!E95</f>
        <v>10.5</v>
      </c>
      <c r="I90" s="49">
        <f>'Plantilla Datos'!F95</f>
        <v>19.600000000000001</v>
      </c>
      <c r="J90" s="47">
        <f>CEILING('Plantilla Datos'!$L$3*TBL_CalcDarwin[[#This Row],[Darwin Gusts
m/s]],0.5)</f>
        <v>8</v>
      </c>
      <c r="K90" s="47">
        <f>CEILING('Plantilla Datos'!$L$4*TBL_CalcDarwin[[#This Row],[Darwin Gusts
m/s]],0.5)</f>
        <v>9</v>
      </c>
      <c r="L90" s="47">
        <f>CEILING(TBL_CalcDarwin[[#This Row],[Darwin Gusts
m/s]],0.5)</f>
        <v>10.5</v>
      </c>
      <c r="M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90" s="41">
        <f>INDEX(Curva_Temp[Temp],MATCH(TBL_CalcDarwin[[#This Row],[Darwin Temp.
°C]],Curva_Temp[Temp]))</f>
        <v>15</v>
      </c>
      <c r="R90" s="41">
        <f>INDEX(Curva_Temp[Warranted Power Curve for 
1.194Kg/m3 air density '[kW']
SG 5.0-145 (AM+1, 5.2MW) AT 
90M],MATCH(TBL_CalcDarwin[[#This Row],[Darwin Temp.
°C]],Curva_Temp[Temp]))</f>
        <v>5200</v>
      </c>
      <c r="S90" s="41" cm="1">
        <f t="array" ref="S90">INDEX(Curva_Temp[Temp],MATCH(TBL_CalcDarwin[[#This Row],[Darwin Temp.
°C]],Curva_Temp[Temp])+1)</f>
        <v>20</v>
      </c>
      <c r="T90" s="41" cm="1">
        <f t="array" ref="T90">INDEX(Curva_Temp[Warranted Power Curve for 
1.194Kg/m3 air density '[kW']
SG 5.0-145 (AM+1, 5.2MW) AT 
90M],MATCH(TBL_CalcDarwin[[#This Row],[Darwin Temp.
°C]],Curva_Temp[Temp])+1)</f>
        <v>5000</v>
      </c>
      <c r="U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90" s="41">
        <f>INDEX(Curva_Temp[Temp],MATCH(TBL_CalcDarwin[[#This Row],[Darwin Temp.
°C]],Curva_Temp[Temp]))</f>
        <v>15</v>
      </c>
      <c r="Z90" s="41">
        <f>INDEX(Curva_Temp[Warranted Power Curve for 
1.194Kg/m3 air density '[kW']
SG 5.0-145 (AM 0, 5.0MW) AT 
90M],MATCH(TBL_CalcDarwin[[#This Row],[Darwin Temp.
°C]],Curva_Temp[Temp]))</f>
        <v>5000</v>
      </c>
      <c r="AA90" s="41" cm="1">
        <f t="array" ref="AA90">INDEX(Curva_Temp[Temp],MATCH(TBL_CalcDarwin[[#This Row],[Darwin Temp.
°C]],Curva_Temp[Temp])+1)</f>
        <v>20</v>
      </c>
      <c r="AB90" s="41" cm="1">
        <f t="array" ref="AB90">INDEX(Curva_Temp[Warranted Power Curve for 
1.194Kg/m3 air density '[kW']
SG 5.0-145 (AM 0, 5.0MW) AT 
90M],MATCH(TBL_CalcDarwin[[#This Row],[Darwin Temp.
°C]],Curva_Temp[Temp])+1)</f>
        <v>5000</v>
      </c>
      <c r="AC90" s="45">
        <f>HLOOKUP(TBL_CalcDarwin[[#This Row],[Fecha]],'Plantilla AEG ES'!$E$1:$HX$13,2,FALSE)</f>
        <v>5</v>
      </c>
      <c r="AD90" s="45">
        <f>HLOOKUP(TBL_CalcDarwin[[#This Row],[Fecha]],'Plantilla AEG ES'!$E$1:$HX$13,3,FALSE)</f>
        <v>8</v>
      </c>
      <c r="AE90" s="45">
        <f>HLOOKUP(TBL_CalcDarwin[[#This Row],[Fecha]],'Plantilla AEG ES'!$E$1:$HX$13,4,FALSE)</f>
        <v>12</v>
      </c>
      <c r="AF90" s="45">
        <f>HLOOKUP(TBL_CalcDarwin[[#This Row],[Fecha]],'Plantilla AEG ES'!$E$1:$HX$13,5,FALSE)</f>
        <v>1</v>
      </c>
      <c r="AG90" s="45">
        <f>HLOOKUP(TBL_CalcDarwin[[#This Row],[Fecha]],'Plantilla AEG ES'!$E$1:$HX$13,6,FALSE)</f>
        <v>1</v>
      </c>
      <c r="AH90" s="45">
        <f>HLOOKUP(TBL_CalcDarwin[[#This Row],[Fecha]],'Plantilla AEG ES'!$E$1:$HX$13,7,FALSE)</f>
        <v>0</v>
      </c>
      <c r="AI90" s="46">
        <f>HLOOKUP(TBL_CalcDarwin[[#This Row],[Fecha]],'Plantilla AEG ES'!$E$1:$HX$13,8,FALSE)</f>
        <v>0</v>
      </c>
      <c r="AJ90" s="46">
        <f>HLOOKUP(TBL_CalcDarwin[[#This Row],[Fecha]],'Plantilla AEG ES'!$E$1:$HX$13,9,FALSE)</f>
        <v>3</v>
      </c>
      <c r="AK90" s="46">
        <f>HLOOKUP(TBL_CalcDarwin[[#This Row],[Fecha]],'Plantilla AEG ES'!$E$1:$HX$13,10,FALSE)</f>
        <v>12</v>
      </c>
      <c r="AL90" s="46">
        <f>HLOOKUP(TBL_CalcDarwin[[#This Row],[Fecha]],'Plantilla AEG ES'!$E$1:$HX$13,11,FALSE)</f>
        <v>1</v>
      </c>
      <c r="AM90" s="46">
        <f>HLOOKUP(TBL_CalcDarwin[[#This Row],[Fecha]],'Plantilla AEG ES'!$E$1:$HX$13,12,FALSE)</f>
        <v>7</v>
      </c>
      <c r="AN90" s="46">
        <f>HLOOKUP(TBL_CalcDarwin[[#This Row],[Fecha]],'Plantilla AEG ES'!$E$1:$HX$13,13,FALSE)</f>
        <v>1</v>
      </c>
      <c r="AO90" s="37">
        <f>TBL_CalcDarwin[[#This Row],[Lomitas - Barra A - 5.2 - Cerro]]+TBL_CalcDarwin[[#This Row],[Lomitas - Barra A - 5.2 - Medio]]+TBL_CalcDarwin[[#This Row],[Lomitas - Barra A - 5.2 - Mar]]</f>
        <v>25</v>
      </c>
      <c r="AP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90" s="37">
        <f>TBL_CalcDarwin[[#This Row],[Expansión - Barra A - 5.2 - Cerro]]+TBL_CalcDarwin[[#This Row],[Expansión - Barra A - 5.2 - Medio]]+TBL_CalcDarwin[[#This Row],[Expansión - Barra A - 5.2 - Mar]]</f>
        <v>2</v>
      </c>
      <c r="AT90" s="37">
        <f>TBL_CalcDarwin[[#This Row],[Expansión - Barra B - 5.2 - Cerro]]</f>
        <v>1</v>
      </c>
      <c r="AU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90" s="29">
        <f>TBL_CalcDarwin[[#This Row],[Expansión - Barra B - 5.2 - Cerro]]*TBL_CalcDarwin[[#This Row],[AEG 5.2 MW Cerro]]</f>
        <v>2.4089999999999998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5">
        <f t="shared" si="6"/>
        <v>45587.708333333125</v>
      </c>
      <c r="C91" s="17">
        <f t="shared" si="8"/>
        <v>3.7083333333333286</v>
      </c>
      <c r="D91" s="34">
        <f>TBL_CalcDarwin[[#This Row],[Darwin PLOM
MW]]+TBL_CalcDarwin[[#This Row],[Darwin PLOME
MW]]</f>
        <v>203.38</v>
      </c>
      <c r="E91" s="34">
        <f>TBL_CalcDarwin[[#This Row],[PLOM MW TOTAL BARRA A]]+TBL_CalcDarwin[[#This Row],[PLOM MW TOTAL BARRA B]]</f>
        <v>195.196</v>
      </c>
      <c r="F91" s="34">
        <f>TBL_CalcDarwin[[#This Row],[PLOME MW TOTAL BARRA A]]+TBL_CalcDarwin[[#This Row],[PLOME MW TOTAL BARRA B]]</f>
        <v>8.1840000000000011</v>
      </c>
      <c r="G91" s="48">
        <f>'Plantilla Datos'!D96</f>
        <v>8.4</v>
      </c>
      <c r="H91" s="48">
        <f>'Plantilla Datos'!E96</f>
        <v>10.5</v>
      </c>
      <c r="I91" s="49">
        <f>'Plantilla Datos'!F96</f>
        <v>18.899999999999999</v>
      </c>
      <c r="J91" s="47">
        <f>CEILING('Plantilla Datos'!$L$3*TBL_CalcDarwin[[#This Row],[Darwin Gusts
m/s]],0.5)</f>
        <v>8</v>
      </c>
      <c r="K91" s="47">
        <f>CEILING('Plantilla Datos'!$L$4*TBL_CalcDarwin[[#This Row],[Darwin Gusts
m/s]],0.5)</f>
        <v>9</v>
      </c>
      <c r="L91" s="47">
        <f>CEILING(TBL_CalcDarwin[[#This Row],[Darwin Gusts
m/s]],0.5)</f>
        <v>10.5</v>
      </c>
      <c r="M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91" s="41">
        <f>INDEX(Curva_Temp[Temp],MATCH(TBL_CalcDarwin[[#This Row],[Darwin Temp.
°C]],Curva_Temp[Temp]))</f>
        <v>15</v>
      </c>
      <c r="R91" s="41">
        <f>INDEX(Curva_Temp[Warranted Power Curve for 
1.194Kg/m3 air density '[kW']
SG 5.0-145 (AM+1, 5.2MW) AT 
90M],MATCH(TBL_CalcDarwin[[#This Row],[Darwin Temp.
°C]],Curva_Temp[Temp]))</f>
        <v>5200</v>
      </c>
      <c r="S91" s="41" cm="1">
        <f t="array" ref="S91">INDEX(Curva_Temp[Temp],MATCH(TBL_CalcDarwin[[#This Row],[Darwin Temp.
°C]],Curva_Temp[Temp])+1)</f>
        <v>20</v>
      </c>
      <c r="T91" s="41" cm="1">
        <f t="array" ref="T91">INDEX(Curva_Temp[Warranted Power Curve for 
1.194Kg/m3 air density '[kW']
SG 5.0-145 (AM+1, 5.2MW) AT 
90M],MATCH(TBL_CalcDarwin[[#This Row],[Darwin Temp.
°C]],Curva_Temp[Temp])+1)</f>
        <v>5000</v>
      </c>
      <c r="U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91" s="41">
        <f>INDEX(Curva_Temp[Temp],MATCH(TBL_CalcDarwin[[#This Row],[Darwin Temp.
°C]],Curva_Temp[Temp]))</f>
        <v>15</v>
      </c>
      <c r="Z91" s="41">
        <f>INDEX(Curva_Temp[Warranted Power Curve for 
1.194Kg/m3 air density '[kW']
SG 5.0-145 (AM 0, 5.0MW) AT 
90M],MATCH(TBL_CalcDarwin[[#This Row],[Darwin Temp.
°C]],Curva_Temp[Temp]))</f>
        <v>5000</v>
      </c>
      <c r="AA91" s="41" cm="1">
        <f t="array" ref="AA91">INDEX(Curva_Temp[Temp],MATCH(TBL_CalcDarwin[[#This Row],[Darwin Temp.
°C]],Curva_Temp[Temp])+1)</f>
        <v>20</v>
      </c>
      <c r="AB91" s="41" cm="1">
        <f t="array" ref="AB91">INDEX(Curva_Temp[Warranted Power Curve for 
1.194Kg/m3 air density '[kW']
SG 5.0-145 (AM 0, 5.0MW) AT 
90M],MATCH(TBL_CalcDarwin[[#This Row],[Darwin Temp.
°C]],Curva_Temp[Temp])+1)</f>
        <v>5000</v>
      </c>
      <c r="AC91" s="45">
        <f>HLOOKUP(TBL_CalcDarwin[[#This Row],[Fecha]],'Plantilla AEG ES'!$E$1:$HX$13,2,FALSE)</f>
        <v>5</v>
      </c>
      <c r="AD91" s="45">
        <f>HLOOKUP(TBL_CalcDarwin[[#This Row],[Fecha]],'Plantilla AEG ES'!$E$1:$HX$13,3,FALSE)</f>
        <v>8</v>
      </c>
      <c r="AE91" s="45">
        <f>HLOOKUP(TBL_CalcDarwin[[#This Row],[Fecha]],'Plantilla AEG ES'!$E$1:$HX$13,4,FALSE)</f>
        <v>12</v>
      </c>
      <c r="AF91" s="45">
        <f>HLOOKUP(TBL_CalcDarwin[[#This Row],[Fecha]],'Plantilla AEG ES'!$E$1:$HX$13,5,FALSE)</f>
        <v>1</v>
      </c>
      <c r="AG91" s="45">
        <f>HLOOKUP(TBL_CalcDarwin[[#This Row],[Fecha]],'Plantilla AEG ES'!$E$1:$HX$13,6,FALSE)</f>
        <v>1</v>
      </c>
      <c r="AH91" s="45">
        <f>HLOOKUP(TBL_CalcDarwin[[#This Row],[Fecha]],'Plantilla AEG ES'!$E$1:$HX$13,7,FALSE)</f>
        <v>0</v>
      </c>
      <c r="AI91" s="46">
        <f>HLOOKUP(TBL_CalcDarwin[[#This Row],[Fecha]],'Plantilla AEG ES'!$E$1:$HX$13,8,FALSE)</f>
        <v>0</v>
      </c>
      <c r="AJ91" s="46">
        <f>HLOOKUP(TBL_CalcDarwin[[#This Row],[Fecha]],'Plantilla AEG ES'!$E$1:$HX$13,9,FALSE)</f>
        <v>3</v>
      </c>
      <c r="AK91" s="46">
        <f>HLOOKUP(TBL_CalcDarwin[[#This Row],[Fecha]],'Plantilla AEG ES'!$E$1:$HX$13,10,FALSE)</f>
        <v>12</v>
      </c>
      <c r="AL91" s="46">
        <f>HLOOKUP(TBL_CalcDarwin[[#This Row],[Fecha]],'Plantilla AEG ES'!$E$1:$HX$13,11,FALSE)</f>
        <v>1</v>
      </c>
      <c r="AM91" s="46">
        <f>HLOOKUP(TBL_CalcDarwin[[#This Row],[Fecha]],'Plantilla AEG ES'!$E$1:$HX$13,12,FALSE)</f>
        <v>7</v>
      </c>
      <c r="AN91" s="46">
        <f>HLOOKUP(TBL_CalcDarwin[[#This Row],[Fecha]],'Plantilla AEG ES'!$E$1:$HX$13,13,FALSE)</f>
        <v>1</v>
      </c>
      <c r="AO91" s="37">
        <f>TBL_CalcDarwin[[#This Row],[Lomitas - Barra A - 5.2 - Cerro]]+TBL_CalcDarwin[[#This Row],[Lomitas - Barra A - 5.2 - Medio]]+TBL_CalcDarwin[[#This Row],[Lomitas - Barra A - 5.2 - Mar]]</f>
        <v>25</v>
      </c>
      <c r="AP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91" s="37">
        <f>TBL_CalcDarwin[[#This Row],[Expansión - Barra A - 5.2 - Cerro]]+TBL_CalcDarwin[[#This Row],[Expansión - Barra A - 5.2 - Medio]]+TBL_CalcDarwin[[#This Row],[Expansión - Barra A - 5.2 - Mar]]</f>
        <v>2</v>
      </c>
      <c r="AT91" s="37">
        <f>TBL_CalcDarwin[[#This Row],[Expansión - Barra B - 5.2 - Cerro]]</f>
        <v>1</v>
      </c>
      <c r="AU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91" s="29">
        <f>TBL_CalcDarwin[[#This Row],[Expansión - Barra B - 5.2 - Cerro]]*TBL_CalcDarwin[[#This Row],[AEG 5.2 MW Cerro]]</f>
        <v>2.4089999999999998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5">
        <f t="shared" si="6"/>
        <v>45587.749999999789</v>
      </c>
      <c r="C92" s="17">
        <f t="shared" si="8"/>
        <v>3.7499999999999951</v>
      </c>
      <c r="D92" s="34">
        <f>TBL_CalcDarwin[[#This Row],[Darwin PLOM
MW]]+TBL_CalcDarwin[[#This Row],[Darwin PLOME
MW]]</f>
        <v>217.79000000000002</v>
      </c>
      <c r="E92" s="34">
        <f>TBL_CalcDarwin[[#This Row],[PLOM MW TOTAL BARRA A]]+TBL_CalcDarwin[[#This Row],[PLOM MW TOTAL BARRA B]]</f>
        <v>209.13000000000002</v>
      </c>
      <c r="F92" s="34">
        <f>TBL_CalcDarwin[[#This Row],[PLOME MW TOTAL BARRA A]]+TBL_CalcDarwin[[#This Row],[PLOME MW TOTAL BARRA B]]</f>
        <v>8.66</v>
      </c>
      <c r="G92" s="48">
        <f>'Plantilla Datos'!D97</f>
        <v>8.5</v>
      </c>
      <c r="H92" s="48">
        <f>'Plantilla Datos'!E97</f>
        <v>10.6</v>
      </c>
      <c r="I92" s="49">
        <f>'Plantilla Datos'!F97</f>
        <v>18.2</v>
      </c>
      <c r="J92" s="47">
        <f>CEILING('Plantilla Datos'!$L$3*TBL_CalcDarwin[[#This Row],[Darwin Gusts
m/s]],0.5)</f>
        <v>8</v>
      </c>
      <c r="K92" s="47">
        <f>CEILING('Plantilla Datos'!$L$4*TBL_CalcDarwin[[#This Row],[Darwin Gusts
m/s]],0.5)</f>
        <v>9.5</v>
      </c>
      <c r="L92" s="47">
        <f>CEILING(TBL_CalcDarwin[[#This Row],[Darwin Gusts
m/s]],0.5)</f>
        <v>11</v>
      </c>
      <c r="M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92" s="41">
        <f>INDEX(Curva_Temp[Temp],MATCH(TBL_CalcDarwin[[#This Row],[Darwin Temp.
°C]],Curva_Temp[Temp]))</f>
        <v>15</v>
      </c>
      <c r="R92" s="41">
        <f>INDEX(Curva_Temp[Warranted Power Curve for 
1.194Kg/m3 air density '[kW']
SG 5.0-145 (AM+1, 5.2MW) AT 
90M],MATCH(TBL_CalcDarwin[[#This Row],[Darwin Temp.
°C]],Curva_Temp[Temp]))</f>
        <v>5200</v>
      </c>
      <c r="S92" s="41" cm="1">
        <f t="array" ref="S92">INDEX(Curva_Temp[Temp],MATCH(TBL_CalcDarwin[[#This Row],[Darwin Temp.
°C]],Curva_Temp[Temp])+1)</f>
        <v>20</v>
      </c>
      <c r="T92" s="41" cm="1">
        <f t="array" ref="T92">INDEX(Curva_Temp[Warranted Power Curve for 
1.194Kg/m3 air density '[kW']
SG 5.0-145 (AM+1, 5.2MW) AT 
90M],MATCH(TBL_CalcDarwin[[#This Row],[Darwin Temp.
°C]],Curva_Temp[Temp])+1)</f>
        <v>5000</v>
      </c>
      <c r="U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92" s="41">
        <f>INDEX(Curva_Temp[Temp],MATCH(TBL_CalcDarwin[[#This Row],[Darwin Temp.
°C]],Curva_Temp[Temp]))</f>
        <v>15</v>
      </c>
      <c r="Z92" s="41">
        <f>INDEX(Curva_Temp[Warranted Power Curve for 
1.194Kg/m3 air density '[kW']
SG 5.0-145 (AM 0, 5.0MW) AT 
90M],MATCH(TBL_CalcDarwin[[#This Row],[Darwin Temp.
°C]],Curva_Temp[Temp]))</f>
        <v>5000</v>
      </c>
      <c r="AA92" s="41" cm="1">
        <f t="array" ref="AA92">INDEX(Curva_Temp[Temp],MATCH(TBL_CalcDarwin[[#This Row],[Darwin Temp.
°C]],Curva_Temp[Temp])+1)</f>
        <v>20</v>
      </c>
      <c r="AB92" s="41" cm="1">
        <f t="array" ref="AB92">INDEX(Curva_Temp[Warranted Power Curve for 
1.194Kg/m3 air density '[kW']
SG 5.0-145 (AM 0, 5.0MW) AT 
90M],MATCH(TBL_CalcDarwin[[#This Row],[Darwin Temp.
°C]],Curva_Temp[Temp])+1)</f>
        <v>5000</v>
      </c>
      <c r="AC92" s="45">
        <f>HLOOKUP(TBL_CalcDarwin[[#This Row],[Fecha]],'Plantilla AEG ES'!$E$1:$HX$13,2,FALSE)</f>
        <v>5</v>
      </c>
      <c r="AD92" s="45">
        <f>HLOOKUP(TBL_CalcDarwin[[#This Row],[Fecha]],'Plantilla AEG ES'!$E$1:$HX$13,3,FALSE)</f>
        <v>8</v>
      </c>
      <c r="AE92" s="45">
        <f>HLOOKUP(TBL_CalcDarwin[[#This Row],[Fecha]],'Plantilla AEG ES'!$E$1:$HX$13,4,FALSE)</f>
        <v>12</v>
      </c>
      <c r="AF92" s="45">
        <f>HLOOKUP(TBL_CalcDarwin[[#This Row],[Fecha]],'Plantilla AEG ES'!$E$1:$HX$13,5,FALSE)</f>
        <v>1</v>
      </c>
      <c r="AG92" s="45">
        <f>HLOOKUP(TBL_CalcDarwin[[#This Row],[Fecha]],'Plantilla AEG ES'!$E$1:$HX$13,6,FALSE)</f>
        <v>1</v>
      </c>
      <c r="AH92" s="45">
        <f>HLOOKUP(TBL_CalcDarwin[[#This Row],[Fecha]],'Plantilla AEG ES'!$E$1:$HX$13,7,FALSE)</f>
        <v>0</v>
      </c>
      <c r="AI92" s="46">
        <f>HLOOKUP(TBL_CalcDarwin[[#This Row],[Fecha]],'Plantilla AEG ES'!$E$1:$HX$13,8,FALSE)</f>
        <v>0</v>
      </c>
      <c r="AJ92" s="46">
        <f>HLOOKUP(TBL_CalcDarwin[[#This Row],[Fecha]],'Plantilla AEG ES'!$E$1:$HX$13,9,FALSE)</f>
        <v>3</v>
      </c>
      <c r="AK92" s="46">
        <f>HLOOKUP(TBL_CalcDarwin[[#This Row],[Fecha]],'Plantilla AEG ES'!$E$1:$HX$13,10,FALSE)</f>
        <v>12</v>
      </c>
      <c r="AL92" s="46">
        <f>HLOOKUP(TBL_CalcDarwin[[#This Row],[Fecha]],'Plantilla AEG ES'!$E$1:$HX$13,11,FALSE)</f>
        <v>1</v>
      </c>
      <c r="AM92" s="46">
        <f>HLOOKUP(TBL_CalcDarwin[[#This Row],[Fecha]],'Plantilla AEG ES'!$E$1:$HX$13,12,FALSE)</f>
        <v>7</v>
      </c>
      <c r="AN92" s="46">
        <f>HLOOKUP(TBL_CalcDarwin[[#This Row],[Fecha]],'Plantilla AEG ES'!$E$1:$HX$13,13,FALSE)</f>
        <v>1</v>
      </c>
      <c r="AO92" s="37">
        <f>TBL_CalcDarwin[[#This Row],[Lomitas - Barra A - 5.2 - Cerro]]+TBL_CalcDarwin[[#This Row],[Lomitas - Barra A - 5.2 - Medio]]+TBL_CalcDarwin[[#This Row],[Lomitas - Barra A - 5.2 - Mar]]</f>
        <v>25</v>
      </c>
      <c r="AP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92" s="37">
        <f>TBL_CalcDarwin[[#This Row],[Expansión - Barra A - 5.2 - Cerro]]+TBL_CalcDarwin[[#This Row],[Expansión - Barra A - 5.2 - Medio]]+TBL_CalcDarwin[[#This Row],[Expansión - Barra A - 5.2 - Mar]]</f>
        <v>2</v>
      </c>
      <c r="AT92" s="37">
        <f>TBL_CalcDarwin[[#This Row],[Expansión - Barra B - 5.2 - Cerro]]</f>
        <v>1</v>
      </c>
      <c r="AU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92" s="29">
        <f>TBL_CalcDarwin[[#This Row],[Expansión - Barra B - 5.2 - Cerro]]*TBL_CalcDarwin[[#This Row],[AEG 5.2 MW Cerro]]</f>
        <v>2.4089999999999998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5">
        <f t="shared" si="6"/>
        <v>45587.791666666453</v>
      </c>
      <c r="C93" s="17">
        <f t="shared" si="8"/>
        <v>3.7916666666666616</v>
      </c>
      <c r="D93" s="34">
        <f>TBL_CalcDarwin[[#This Row],[Darwin PLOM
MW]]+TBL_CalcDarwin[[#This Row],[Darwin PLOME
MW]]</f>
        <v>217.79000000000002</v>
      </c>
      <c r="E93" s="34">
        <f>TBL_CalcDarwin[[#This Row],[PLOM MW TOTAL BARRA A]]+TBL_CalcDarwin[[#This Row],[PLOM MW TOTAL BARRA B]]</f>
        <v>209.13000000000002</v>
      </c>
      <c r="F93" s="34">
        <f>TBL_CalcDarwin[[#This Row],[PLOME MW TOTAL BARRA A]]+TBL_CalcDarwin[[#This Row],[PLOME MW TOTAL BARRA B]]</f>
        <v>8.66</v>
      </c>
      <c r="G93" s="48">
        <f>'Plantilla Datos'!D98</f>
        <v>8.5</v>
      </c>
      <c r="H93" s="48">
        <f>'Plantilla Datos'!E98</f>
        <v>10.6</v>
      </c>
      <c r="I93" s="49">
        <f>'Plantilla Datos'!F98</f>
        <v>17.2</v>
      </c>
      <c r="J93" s="47">
        <f>CEILING('Plantilla Datos'!$L$3*TBL_CalcDarwin[[#This Row],[Darwin Gusts
m/s]],0.5)</f>
        <v>8</v>
      </c>
      <c r="K93" s="47">
        <f>CEILING('Plantilla Datos'!$L$4*TBL_CalcDarwin[[#This Row],[Darwin Gusts
m/s]],0.5)</f>
        <v>9.5</v>
      </c>
      <c r="L93" s="47">
        <f>CEILING(TBL_CalcDarwin[[#This Row],[Darwin Gusts
m/s]],0.5)</f>
        <v>11</v>
      </c>
      <c r="M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93" s="41">
        <f>INDEX(Curva_Temp[Temp],MATCH(TBL_CalcDarwin[[#This Row],[Darwin Temp.
°C]],Curva_Temp[Temp]))</f>
        <v>15</v>
      </c>
      <c r="R93" s="41">
        <f>INDEX(Curva_Temp[Warranted Power Curve for 
1.194Kg/m3 air density '[kW']
SG 5.0-145 (AM+1, 5.2MW) AT 
90M],MATCH(TBL_CalcDarwin[[#This Row],[Darwin Temp.
°C]],Curva_Temp[Temp]))</f>
        <v>5200</v>
      </c>
      <c r="S93" s="41" cm="1">
        <f t="array" ref="S93">INDEX(Curva_Temp[Temp],MATCH(TBL_CalcDarwin[[#This Row],[Darwin Temp.
°C]],Curva_Temp[Temp])+1)</f>
        <v>20</v>
      </c>
      <c r="T93" s="41" cm="1">
        <f t="array" ref="T93">INDEX(Curva_Temp[Warranted Power Curve for 
1.194Kg/m3 air density '[kW']
SG 5.0-145 (AM+1, 5.2MW) AT 
90M],MATCH(TBL_CalcDarwin[[#This Row],[Darwin Temp.
°C]],Curva_Temp[Temp])+1)</f>
        <v>5000</v>
      </c>
      <c r="U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93" s="41">
        <f>INDEX(Curva_Temp[Temp],MATCH(TBL_CalcDarwin[[#This Row],[Darwin Temp.
°C]],Curva_Temp[Temp]))</f>
        <v>15</v>
      </c>
      <c r="Z93" s="41">
        <f>INDEX(Curva_Temp[Warranted Power Curve for 
1.194Kg/m3 air density '[kW']
SG 5.0-145 (AM 0, 5.0MW) AT 
90M],MATCH(TBL_CalcDarwin[[#This Row],[Darwin Temp.
°C]],Curva_Temp[Temp]))</f>
        <v>5000</v>
      </c>
      <c r="AA93" s="41" cm="1">
        <f t="array" ref="AA93">INDEX(Curva_Temp[Temp],MATCH(TBL_CalcDarwin[[#This Row],[Darwin Temp.
°C]],Curva_Temp[Temp])+1)</f>
        <v>20</v>
      </c>
      <c r="AB93" s="41" cm="1">
        <f t="array" ref="AB93">INDEX(Curva_Temp[Warranted Power Curve for 
1.194Kg/m3 air density '[kW']
SG 5.0-145 (AM 0, 5.0MW) AT 
90M],MATCH(TBL_CalcDarwin[[#This Row],[Darwin Temp.
°C]],Curva_Temp[Temp])+1)</f>
        <v>5000</v>
      </c>
      <c r="AC93" s="45">
        <f>HLOOKUP(TBL_CalcDarwin[[#This Row],[Fecha]],'Plantilla AEG ES'!$E$1:$HX$13,2,FALSE)</f>
        <v>5</v>
      </c>
      <c r="AD93" s="45">
        <f>HLOOKUP(TBL_CalcDarwin[[#This Row],[Fecha]],'Plantilla AEG ES'!$E$1:$HX$13,3,FALSE)</f>
        <v>8</v>
      </c>
      <c r="AE93" s="45">
        <f>HLOOKUP(TBL_CalcDarwin[[#This Row],[Fecha]],'Plantilla AEG ES'!$E$1:$HX$13,4,FALSE)</f>
        <v>12</v>
      </c>
      <c r="AF93" s="45">
        <f>HLOOKUP(TBL_CalcDarwin[[#This Row],[Fecha]],'Plantilla AEG ES'!$E$1:$HX$13,5,FALSE)</f>
        <v>1</v>
      </c>
      <c r="AG93" s="45">
        <f>HLOOKUP(TBL_CalcDarwin[[#This Row],[Fecha]],'Plantilla AEG ES'!$E$1:$HX$13,6,FALSE)</f>
        <v>1</v>
      </c>
      <c r="AH93" s="45">
        <f>HLOOKUP(TBL_CalcDarwin[[#This Row],[Fecha]],'Plantilla AEG ES'!$E$1:$HX$13,7,FALSE)</f>
        <v>0</v>
      </c>
      <c r="AI93" s="46">
        <f>HLOOKUP(TBL_CalcDarwin[[#This Row],[Fecha]],'Plantilla AEG ES'!$E$1:$HX$13,8,FALSE)</f>
        <v>0</v>
      </c>
      <c r="AJ93" s="46">
        <f>HLOOKUP(TBL_CalcDarwin[[#This Row],[Fecha]],'Plantilla AEG ES'!$E$1:$HX$13,9,FALSE)</f>
        <v>3</v>
      </c>
      <c r="AK93" s="46">
        <f>HLOOKUP(TBL_CalcDarwin[[#This Row],[Fecha]],'Plantilla AEG ES'!$E$1:$HX$13,10,FALSE)</f>
        <v>12</v>
      </c>
      <c r="AL93" s="46">
        <f>HLOOKUP(TBL_CalcDarwin[[#This Row],[Fecha]],'Plantilla AEG ES'!$E$1:$HX$13,11,FALSE)</f>
        <v>1</v>
      </c>
      <c r="AM93" s="46">
        <f>HLOOKUP(TBL_CalcDarwin[[#This Row],[Fecha]],'Plantilla AEG ES'!$E$1:$HX$13,12,FALSE)</f>
        <v>7</v>
      </c>
      <c r="AN93" s="46">
        <f>HLOOKUP(TBL_CalcDarwin[[#This Row],[Fecha]],'Plantilla AEG ES'!$E$1:$HX$13,13,FALSE)</f>
        <v>1</v>
      </c>
      <c r="AO93" s="37">
        <f>TBL_CalcDarwin[[#This Row],[Lomitas - Barra A - 5.2 - Cerro]]+TBL_CalcDarwin[[#This Row],[Lomitas - Barra A - 5.2 - Medio]]+TBL_CalcDarwin[[#This Row],[Lomitas - Barra A - 5.2 - Mar]]</f>
        <v>25</v>
      </c>
      <c r="AP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93" s="37">
        <f>TBL_CalcDarwin[[#This Row],[Expansión - Barra A - 5.2 - Cerro]]+TBL_CalcDarwin[[#This Row],[Expansión - Barra A - 5.2 - Medio]]+TBL_CalcDarwin[[#This Row],[Expansión - Barra A - 5.2 - Mar]]</f>
        <v>2</v>
      </c>
      <c r="AT93" s="37">
        <f>TBL_CalcDarwin[[#This Row],[Expansión - Barra B - 5.2 - Cerro]]</f>
        <v>1</v>
      </c>
      <c r="AU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93" s="29">
        <f>TBL_CalcDarwin[[#This Row],[Expansión - Barra B - 5.2 - Cerro]]*TBL_CalcDarwin[[#This Row],[AEG 5.2 MW Cerro]]</f>
        <v>2.4089999999999998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5">
        <f t="shared" si="6"/>
        <v>45587.833333333117</v>
      </c>
      <c r="C94" s="17">
        <f t="shared" si="8"/>
        <v>3.8333333333333282</v>
      </c>
      <c r="D94" s="34">
        <f>TBL_CalcDarwin[[#This Row],[Darwin PLOM
MW]]+TBL_CalcDarwin[[#This Row],[Darwin PLOME
MW]]</f>
        <v>217.79000000000002</v>
      </c>
      <c r="E94" s="34">
        <f>TBL_CalcDarwin[[#This Row],[PLOM MW TOTAL BARRA A]]+TBL_CalcDarwin[[#This Row],[PLOM MW TOTAL BARRA B]]</f>
        <v>209.13000000000002</v>
      </c>
      <c r="F94" s="34">
        <f>TBL_CalcDarwin[[#This Row],[PLOME MW TOTAL BARRA A]]+TBL_CalcDarwin[[#This Row],[PLOME MW TOTAL BARRA B]]</f>
        <v>8.66</v>
      </c>
      <c r="G94" s="48">
        <f>'Plantilla Datos'!D99</f>
        <v>8.6</v>
      </c>
      <c r="H94" s="48">
        <f>'Plantilla Datos'!E99</f>
        <v>10.8</v>
      </c>
      <c r="I94" s="49">
        <f>'Plantilla Datos'!F99</f>
        <v>17.100000000000001</v>
      </c>
      <c r="J94" s="47">
        <f>CEILING('Plantilla Datos'!$L$3*TBL_CalcDarwin[[#This Row],[Darwin Gusts
m/s]],0.5)</f>
        <v>8</v>
      </c>
      <c r="K94" s="47">
        <f>CEILING('Plantilla Datos'!$L$4*TBL_CalcDarwin[[#This Row],[Darwin Gusts
m/s]],0.5)</f>
        <v>9.5</v>
      </c>
      <c r="L94" s="47">
        <f>CEILING(TBL_CalcDarwin[[#This Row],[Darwin Gusts
m/s]],0.5)</f>
        <v>11</v>
      </c>
      <c r="M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94" s="41">
        <f>INDEX(Curva_Temp[Temp],MATCH(TBL_CalcDarwin[[#This Row],[Darwin Temp.
°C]],Curva_Temp[Temp]))</f>
        <v>15</v>
      </c>
      <c r="R94" s="41">
        <f>INDEX(Curva_Temp[Warranted Power Curve for 
1.194Kg/m3 air density '[kW']
SG 5.0-145 (AM+1, 5.2MW) AT 
90M],MATCH(TBL_CalcDarwin[[#This Row],[Darwin Temp.
°C]],Curva_Temp[Temp]))</f>
        <v>5200</v>
      </c>
      <c r="S94" s="41" cm="1">
        <f t="array" ref="S94">INDEX(Curva_Temp[Temp],MATCH(TBL_CalcDarwin[[#This Row],[Darwin Temp.
°C]],Curva_Temp[Temp])+1)</f>
        <v>20</v>
      </c>
      <c r="T94" s="41" cm="1">
        <f t="array" ref="T94">INDEX(Curva_Temp[Warranted Power Curve for 
1.194Kg/m3 air density '[kW']
SG 5.0-145 (AM+1, 5.2MW) AT 
90M],MATCH(TBL_CalcDarwin[[#This Row],[Darwin Temp.
°C]],Curva_Temp[Temp])+1)</f>
        <v>5000</v>
      </c>
      <c r="U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94" s="41">
        <f>INDEX(Curva_Temp[Temp],MATCH(TBL_CalcDarwin[[#This Row],[Darwin Temp.
°C]],Curva_Temp[Temp]))</f>
        <v>15</v>
      </c>
      <c r="Z94" s="41">
        <f>INDEX(Curva_Temp[Warranted Power Curve for 
1.194Kg/m3 air density '[kW']
SG 5.0-145 (AM 0, 5.0MW) AT 
90M],MATCH(TBL_CalcDarwin[[#This Row],[Darwin Temp.
°C]],Curva_Temp[Temp]))</f>
        <v>5000</v>
      </c>
      <c r="AA94" s="41" cm="1">
        <f t="array" ref="AA94">INDEX(Curva_Temp[Temp],MATCH(TBL_CalcDarwin[[#This Row],[Darwin Temp.
°C]],Curva_Temp[Temp])+1)</f>
        <v>20</v>
      </c>
      <c r="AB94" s="41" cm="1">
        <f t="array" ref="AB94">INDEX(Curva_Temp[Warranted Power Curve for 
1.194Kg/m3 air density '[kW']
SG 5.0-145 (AM 0, 5.0MW) AT 
90M],MATCH(TBL_CalcDarwin[[#This Row],[Darwin Temp.
°C]],Curva_Temp[Temp])+1)</f>
        <v>5000</v>
      </c>
      <c r="AC94" s="45">
        <f>HLOOKUP(TBL_CalcDarwin[[#This Row],[Fecha]],'Plantilla AEG ES'!$E$1:$HX$13,2,FALSE)</f>
        <v>5</v>
      </c>
      <c r="AD94" s="45">
        <f>HLOOKUP(TBL_CalcDarwin[[#This Row],[Fecha]],'Plantilla AEG ES'!$E$1:$HX$13,3,FALSE)</f>
        <v>8</v>
      </c>
      <c r="AE94" s="45">
        <f>HLOOKUP(TBL_CalcDarwin[[#This Row],[Fecha]],'Plantilla AEG ES'!$E$1:$HX$13,4,FALSE)</f>
        <v>12</v>
      </c>
      <c r="AF94" s="45">
        <f>HLOOKUP(TBL_CalcDarwin[[#This Row],[Fecha]],'Plantilla AEG ES'!$E$1:$HX$13,5,FALSE)</f>
        <v>1</v>
      </c>
      <c r="AG94" s="45">
        <f>HLOOKUP(TBL_CalcDarwin[[#This Row],[Fecha]],'Plantilla AEG ES'!$E$1:$HX$13,6,FALSE)</f>
        <v>1</v>
      </c>
      <c r="AH94" s="45">
        <f>HLOOKUP(TBL_CalcDarwin[[#This Row],[Fecha]],'Plantilla AEG ES'!$E$1:$HX$13,7,FALSE)</f>
        <v>0</v>
      </c>
      <c r="AI94" s="46">
        <f>HLOOKUP(TBL_CalcDarwin[[#This Row],[Fecha]],'Plantilla AEG ES'!$E$1:$HX$13,8,FALSE)</f>
        <v>0</v>
      </c>
      <c r="AJ94" s="46">
        <f>HLOOKUP(TBL_CalcDarwin[[#This Row],[Fecha]],'Plantilla AEG ES'!$E$1:$HX$13,9,FALSE)</f>
        <v>3</v>
      </c>
      <c r="AK94" s="46">
        <f>HLOOKUP(TBL_CalcDarwin[[#This Row],[Fecha]],'Plantilla AEG ES'!$E$1:$HX$13,10,FALSE)</f>
        <v>12</v>
      </c>
      <c r="AL94" s="46">
        <f>HLOOKUP(TBL_CalcDarwin[[#This Row],[Fecha]],'Plantilla AEG ES'!$E$1:$HX$13,11,FALSE)</f>
        <v>1</v>
      </c>
      <c r="AM94" s="46">
        <f>HLOOKUP(TBL_CalcDarwin[[#This Row],[Fecha]],'Plantilla AEG ES'!$E$1:$HX$13,12,FALSE)</f>
        <v>7</v>
      </c>
      <c r="AN94" s="46">
        <f>HLOOKUP(TBL_CalcDarwin[[#This Row],[Fecha]],'Plantilla AEG ES'!$E$1:$HX$13,13,FALSE)</f>
        <v>1</v>
      </c>
      <c r="AO94" s="37">
        <f>TBL_CalcDarwin[[#This Row],[Lomitas - Barra A - 5.2 - Cerro]]+TBL_CalcDarwin[[#This Row],[Lomitas - Barra A - 5.2 - Medio]]+TBL_CalcDarwin[[#This Row],[Lomitas - Barra A - 5.2 - Mar]]</f>
        <v>25</v>
      </c>
      <c r="AP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94" s="37">
        <f>TBL_CalcDarwin[[#This Row],[Expansión - Barra A - 5.2 - Cerro]]+TBL_CalcDarwin[[#This Row],[Expansión - Barra A - 5.2 - Medio]]+TBL_CalcDarwin[[#This Row],[Expansión - Barra A - 5.2 - Mar]]</f>
        <v>2</v>
      </c>
      <c r="AT94" s="37">
        <f>TBL_CalcDarwin[[#This Row],[Expansión - Barra B - 5.2 - Cerro]]</f>
        <v>1</v>
      </c>
      <c r="AU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94" s="29">
        <f>TBL_CalcDarwin[[#This Row],[Expansión - Barra B - 5.2 - Cerro]]*TBL_CalcDarwin[[#This Row],[AEG 5.2 MW Cerro]]</f>
        <v>2.4089999999999998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5">
        <f t="shared" si="6"/>
        <v>45587.874999999782</v>
      </c>
      <c r="C95" s="17">
        <f>C94+TIME(1,0,0)</f>
        <v>3.8749999999999947</v>
      </c>
      <c r="D95" s="34">
        <f>TBL_CalcDarwin[[#This Row],[Darwin PLOM
MW]]+TBL_CalcDarwin[[#This Row],[Darwin PLOME
MW]]</f>
        <v>217.79000000000002</v>
      </c>
      <c r="E95" s="34">
        <f>TBL_CalcDarwin[[#This Row],[PLOM MW TOTAL BARRA A]]+TBL_CalcDarwin[[#This Row],[PLOM MW TOTAL BARRA B]]</f>
        <v>209.13000000000002</v>
      </c>
      <c r="F95" s="34">
        <f>TBL_CalcDarwin[[#This Row],[PLOME MW TOTAL BARRA A]]+TBL_CalcDarwin[[#This Row],[PLOME MW TOTAL BARRA B]]</f>
        <v>8.66</v>
      </c>
      <c r="G95" s="48">
        <f>'Plantilla Datos'!D100</f>
        <v>8.6999999999999993</v>
      </c>
      <c r="H95" s="48">
        <f>'Plantilla Datos'!E100</f>
        <v>10.9</v>
      </c>
      <c r="I95" s="49">
        <f>'Plantilla Datos'!F100</f>
        <v>17</v>
      </c>
      <c r="J95" s="47">
        <f>CEILING('Plantilla Datos'!$L$3*TBL_CalcDarwin[[#This Row],[Darwin Gusts
m/s]],0.5)</f>
        <v>8</v>
      </c>
      <c r="K95" s="47">
        <f>CEILING('Plantilla Datos'!$L$4*TBL_CalcDarwin[[#This Row],[Darwin Gusts
m/s]],0.5)</f>
        <v>9.5</v>
      </c>
      <c r="L95" s="47">
        <f>CEILING(TBL_CalcDarwin[[#This Row],[Darwin Gusts
m/s]],0.5)</f>
        <v>11</v>
      </c>
      <c r="M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95" s="41">
        <f>INDEX(Curva_Temp[Temp],MATCH(TBL_CalcDarwin[[#This Row],[Darwin Temp.
°C]],Curva_Temp[Temp]))</f>
        <v>15</v>
      </c>
      <c r="R95" s="41">
        <f>INDEX(Curva_Temp[Warranted Power Curve for 
1.194Kg/m3 air density '[kW']
SG 5.0-145 (AM+1, 5.2MW) AT 
90M],MATCH(TBL_CalcDarwin[[#This Row],[Darwin Temp.
°C]],Curva_Temp[Temp]))</f>
        <v>5200</v>
      </c>
      <c r="S95" s="41" cm="1">
        <f t="array" ref="S95">INDEX(Curva_Temp[Temp],MATCH(TBL_CalcDarwin[[#This Row],[Darwin Temp.
°C]],Curva_Temp[Temp])+1)</f>
        <v>20</v>
      </c>
      <c r="T95" s="41" cm="1">
        <f t="array" ref="T95">INDEX(Curva_Temp[Warranted Power Curve for 
1.194Kg/m3 air density '[kW']
SG 5.0-145 (AM+1, 5.2MW) AT 
90M],MATCH(TBL_CalcDarwin[[#This Row],[Darwin Temp.
°C]],Curva_Temp[Temp])+1)</f>
        <v>5000</v>
      </c>
      <c r="U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95" s="41">
        <f>INDEX(Curva_Temp[Temp],MATCH(TBL_CalcDarwin[[#This Row],[Darwin Temp.
°C]],Curva_Temp[Temp]))</f>
        <v>15</v>
      </c>
      <c r="Z95" s="41">
        <f>INDEX(Curva_Temp[Warranted Power Curve for 
1.194Kg/m3 air density '[kW']
SG 5.0-145 (AM 0, 5.0MW) AT 
90M],MATCH(TBL_CalcDarwin[[#This Row],[Darwin Temp.
°C]],Curva_Temp[Temp]))</f>
        <v>5000</v>
      </c>
      <c r="AA95" s="41" cm="1">
        <f t="array" ref="AA95">INDEX(Curva_Temp[Temp],MATCH(TBL_CalcDarwin[[#This Row],[Darwin Temp.
°C]],Curva_Temp[Temp])+1)</f>
        <v>20</v>
      </c>
      <c r="AB95" s="41" cm="1">
        <f t="array" ref="AB95">INDEX(Curva_Temp[Warranted Power Curve for 
1.194Kg/m3 air density '[kW']
SG 5.0-145 (AM 0, 5.0MW) AT 
90M],MATCH(TBL_CalcDarwin[[#This Row],[Darwin Temp.
°C]],Curva_Temp[Temp])+1)</f>
        <v>5000</v>
      </c>
      <c r="AC95" s="45">
        <f>HLOOKUP(TBL_CalcDarwin[[#This Row],[Fecha]],'Plantilla AEG ES'!$E$1:$HX$13,2,FALSE)</f>
        <v>5</v>
      </c>
      <c r="AD95" s="45">
        <f>HLOOKUP(TBL_CalcDarwin[[#This Row],[Fecha]],'Plantilla AEG ES'!$E$1:$HX$13,3,FALSE)</f>
        <v>8</v>
      </c>
      <c r="AE95" s="45">
        <f>HLOOKUP(TBL_CalcDarwin[[#This Row],[Fecha]],'Plantilla AEG ES'!$E$1:$HX$13,4,FALSE)</f>
        <v>12</v>
      </c>
      <c r="AF95" s="45">
        <f>HLOOKUP(TBL_CalcDarwin[[#This Row],[Fecha]],'Plantilla AEG ES'!$E$1:$HX$13,5,FALSE)</f>
        <v>1</v>
      </c>
      <c r="AG95" s="45">
        <f>HLOOKUP(TBL_CalcDarwin[[#This Row],[Fecha]],'Plantilla AEG ES'!$E$1:$HX$13,6,FALSE)</f>
        <v>1</v>
      </c>
      <c r="AH95" s="45">
        <f>HLOOKUP(TBL_CalcDarwin[[#This Row],[Fecha]],'Plantilla AEG ES'!$E$1:$HX$13,7,FALSE)</f>
        <v>0</v>
      </c>
      <c r="AI95" s="46">
        <f>HLOOKUP(TBL_CalcDarwin[[#This Row],[Fecha]],'Plantilla AEG ES'!$E$1:$HX$13,8,FALSE)</f>
        <v>0</v>
      </c>
      <c r="AJ95" s="46">
        <f>HLOOKUP(TBL_CalcDarwin[[#This Row],[Fecha]],'Plantilla AEG ES'!$E$1:$HX$13,9,FALSE)</f>
        <v>3</v>
      </c>
      <c r="AK95" s="46">
        <f>HLOOKUP(TBL_CalcDarwin[[#This Row],[Fecha]],'Plantilla AEG ES'!$E$1:$HX$13,10,FALSE)</f>
        <v>12</v>
      </c>
      <c r="AL95" s="46">
        <f>HLOOKUP(TBL_CalcDarwin[[#This Row],[Fecha]],'Plantilla AEG ES'!$E$1:$HX$13,11,FALSE)</f>
        <v>1</v>
      </c>
      <c r="AM95" s="46">
        <f>HLOOKUP(TBL_CalcDarwin[[#This Row],[Fecha]],'Plantilla AEG ES'!$E$1:$HX$13,12,FALSE)</f>
        <v>7</v>
      </c>
      <c r="AN95" s="46">
        <f>HLOOKUP(TBL_CalcDarwin[[#This Row],[Fecha]],'Plantilla AEG ES'!$E$1:$HX$13,13,FALSE)</f>
        <v>1</v>
      </c>
      <c r="AO95" s="37">
        <f>TBL_CalcDarwin[[#This Row],[Lomitas - Barra A - 5.2 - Cerro]]+TBL_CalcDarwin[[#This Row],[Lomitas - Barra A - 5.2 - Medio]]+TBL_CalcDarwin[[#This Row],[Lomitas - Barra A - 5.2 - Mar]]</f>
        <v>25</v>
      </c>
      <c r="AP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95" s="37">
        <f>TBL_CalcDarwin[[#This Row],[Expansión - Barra A - 5.2 - Cerro]]+TBL_CalcDarwin[[#This Row],[Expansión - Barra A - 5.2 - Medio]]+TBL_CalcDarwin[[#This Row],[Expansión - Barra A - 5.2 - Mar]]</f>
        <v>2</v>
      </c>
      <c r="AT95" s="37">
        <f>TBL_CalcDarwin[[#This Row],[Expansión - Barra B - 5.2 - Cerro]]</f>
        <v>1</v>
      </c>
      <c r="AU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95" s="29">
        <f>TBL_CalcDarwin[[#This Row],[Expansión - Barra B - 5.2 - Cerro]]*TBL_CalcDarwin[[#This Row],[AEG 5.2 MW Cerro]]</f>
        <v>2.4089999999999998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5">
        <f t="shared" si="6"/>
        <v>45587.916666666446</v>
      </c>
      <c r="C96" s="17">
        <f t="shared" ref="C96:C100" si="9">C95+TIME(1,0,0)</f>
        <v>3.9166666666666612</v>
      </c>
      <c r="D96" s="34">
        <f>TBL_CalcDarwin[[#This Row],[Darwin PLOM
MW]]+TBL_CalcDarwin[[#This Row],[Darwin PLOME
MW]]</f>
        <v>226.62800000000001</v>
      </c>
      <c r="E96" s="34">
        <f>TBL_CalcDarwin[[#This Row],[PLOM MW TOTAL BARRA A]]+TBL_CalcDarwin[[#This Row],[PLOM MW TOTAL BARRA B]]</f>
        <v>217.03</v>
      </c>
      <c r="F96" s="34">
        <f>TBL_CalcDarwin[[#This Row],[PLOME MW TOTAL BARRA A]]+TBL_CalcDarwin[[#This Row],[PLOME MW TOTAL BARRA B]]</f>
        <v>9.5980000000000008</v>
      </c>
      <c r="G96" s="48">
        <f>'Plantilla Datos'!D101</f>
        <v>8.9</v>
      </c>
      <c r="H96" s="48">
        <f>'Plantilla Datos'!E101</f>
        <v>11.1</v>
      </c>
      <c r="I96" s="49">
        <f>'Plantilla Datos'!F101</f>
        <v>16.8</v>
      </c>
      <c r="J96" s="47">
        <f>CEILING('Plantilla Datos'!$L$3*TBL_CalcDarwin[[#This Row],[Darwin Gusts
m/s]],0.5)</f>
        <v>8.5</v>
      </c>
      <c r="K96" s="47">
        <f>CEILING('Plantilla Datos'!$L$4*TBL_CalcDarwin[[#This Row],[Darwin Gusts
m/s]],0.5)</f>
        <v>9.5</v>
      </c>
      <c r="L96" s="47">
        <f>CEILING(TBL_CalcDarwin[[#This Row],[Darwin Gusts
m/s]],0.5)</f>
        <v>11.5</v>
      </c>
      <c r="M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5.1280000000000001</v>
      </c>
      <c r="Q96" s="41">
        <f>INDEX(Curva_Temp[Temp],MATCH(TBL_CalcDarwin[[#This Row],[Darwin Temp.
°C]],Curva_Temp[Temp]))</f>
        <v>15</v>
      </c>
      <c r="R96" s="41">
        <f>INDEX(Curva_Temp[Warranted Power Curve for 
1.194Kg/m3 air density '[kW']
SG 5.0-145 (AM+1, 5.2MW) AT 
90M],MATCH(TBL_CalcDarwin[[#This Row],[Darwin Temp.
°C]],Curva_Temp[Temp]))</f>
        <v>5200</v>
      </c>
      <c r="S96" s="41" cm="1">
        <f t="array" ref="S96">INDEX(Curva_Temp[Temp],MATCH(TBL_CalcDarwin[[#This Row],[Darwin Temp.
°C]],Curva_Temp[Temp])+1)</f>
        <v>20</v>
      </c>
      <c r="T96" s="41" cm="1">
        <f t="array" ref="T96">INDEX(Curva_Temp[Warranted Power Curve for 
1.194Kg/m3 air density '[kW']
SG 5.0-145 (AM+1, 5.2MW) AT 
90M],MATCH(TBL_CalcDarwin[[#This Row],[Darwin Temp.
°C]],Curva_Temp[Temp])+1)</f>
        <v>5000</v>
      </c>
      <c r="U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96" s="41">
        <f>INDEX(Curva_Temp[Temp],MATCH(TBL_CalcDarwin[[#This Row],[Darwin Temp.
°C]],Curva_Temp[Temp]))</f>
        <v>15</v>
      </c>
      <c r="Z96" s="41">
        <f>INDEX(Curva_Temp[Warranted Power Curve for 
1.194Kg/m3 air density '[kW']
SG 5.0-145 (AM 0, 5.0MW) AT 
90M],MATCH(TBL_CalcDarwin[[#This Row],[Darwin Temp.
°C]],Curva_Temp[Temp]))</f>
        <v>5000</v>
      </c>
      <c r="AA96" s="41" cm="1">
        <f t="array" ref="AA96">INDEX(Curva_Temp[Temp],MATCH(TBL_CalcDarwin[[#This Row],[Darwin Temp.
°C]],Curva_Temp[Temp])+1)</f>
        <v>20</v>
      </c>
      <c r="AB96" s="41" cm="1">
        <f t="array" ref="AB96">INDEX(Curva_Temp[Warranted Power Curve for 
1.194Kg/m3 air density '[kW']
SG 5.0-145 (AM 0, 5.0MW) AT 
90M],MATCH(TBL_CalcDarwin[[#This Row],[Darwin Temp.
°C]],Curva_Temp[Temp])+1)</f>
        <v>5000</v>
      </c>
      <c r="AC96" s="45">
        <f>HLOOKUP(TBL_CalcDarwin[[#This Row],[Fecha]],'Plantilla AEG ES'!$E$1:$HX$13,2,FALSE)</f>
        <v>5</v>
      </c>
      <c r="AD96" s="45">
        <f>HLOOKUP(TBL_CalcDarwin[[#This Row],[Fecha]],'Plantilla AEG ES'!$E$1:$HX$13,3,FALSE)</f>
        <v>8</v>
      </c>
      <c r="AE96" s="45">
        <f>HLOOKUP(TBL_CalcDarwin[[#This Row],[Fecha]],'Plantilla AEG ES'!$E$1:$HX$13,4,FALSE)</f>
        <v>12</v>
      </c>
      <c r="AF96" s="45">
        <f>HLOOKUP(TBL_CalcDarwin[[#This Row],[Fecha]],'Plantilla AEG ES'!$E$1:$HX$13,5,FALSE)</f>
        <v>1</v>
      </c>
      <c r="AG96" s="45">
        <f>HLOOKUP(TBL_CalcDarwin[[#This Row],[Fecha]],'Plantilla AEG ES'!$E$1:$HX$13,6,FALSE)</f>
        <v>1</v>
      </c>
      <c r="AH96" s="45">
        <f>HLOOKUP(TBL_CalcDarwin[[#This Row],[Fecha]],'Plantilla AEG ES'!$E$1:$HX$13,7,FALSE)</f>
        <v>0</v>
      </c>
      <c r="AI96" s="46">
        <f>HLOOKUP(TBL_CalcDarwin[[#This Row],[Fecha]],'Plantilla AEG ES'!$E$1:$HX$13,8,FALSE)</f>
        <v>0</v>
      </c>
      <c r="AJ96" s="46">
        <f>HLOOKUP(TBL_CalcDarwin[[#This Row],[Fecha]],'Plantilla AEG ES'!$E$1:$HX$13,9,FALSE)</f>
        <v>3</v>
      </c>
      <c r="AK96" s="46">
        <f>HLOOKUP(TBL_CalcDarwin[[#This Row],[Fecha]],'Plantilla AEG ES'!$E$1:$HX$13,10,FALSE)</f>
        <v>12</v>
      </c>
      <c r="AL96" s="46">
        <f>HLOOKUP(TBL_CalcDarwin[[#This Row],[Fecha]],'Plantilla AEG ES'!$E$1:$HX$13,11,FALSE)</f>
        <v>1</v>
      </c>
      <c r="AM96" s="46">
        <f>HLOOKUP(TBL_CalcDarwin[[#This Row],[Fecha]],'Plantilla AEG ES'!$E$1:$HX$13,12,FALSE)</f>
        <v>7</v>
      </c>
      <c r="AN96" s="46">
        <f>HLOOKUP(TBL_CalcDarwin[[#This Row],[Fecha]],'Plantilla AEG ES'!$E$1:$HX$13,13,FALSE)</f>
        <v>1</v>
      </c>
      <c r="AO96" s="37">
        <f>TBL_CalcDarwin[[#This Row],[Lomitas - Barra A - 5.2 - Cerro]]+TBL_CalcDarwin[[#This Row],[Lomitas - Barra A - 5.2 - Medio]]+TBL_CalcDarwin[[#This Row],[Lomitas - Barra A - 5.2 - Mar]]</f>
        <v>25</v>
      </c>
      <c r="AP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106.66200000000001</v>
      </c>
      <c r="AR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110.36799999999999</v>
      </c>
      <c r="AS96" s="37">
        <f>TBL_CalcDarwin[[#This Row],[Expansión - Barra A - 5.2 - Cerro]]+TBL_CalcDarwin[[#This Row],[Expansión - Barra A - 5.2 - Medio]]+TBL_CalcDarwin[[#This Row],[Expansión - Barra A - 5.2 - Mar]]</f>
        <v>2</v>
      </c>
      <c r="AT96" s="37">
        <f>TBL_CalcDarwin[[#This Row],[Expansión - Barra B - 5.2 - Cerro]]</f>
        <v>1</v>
      </c>
      <c r="AU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96" s="29">
        <f>TBL_CalcDarwin[[#This Row],[Expansión - Barra B - 5.2 - Cerro]]*TBL_CalcDarwin[[#This Row],[AEG 5.2 MW Cerro]]</f>
        <v>2.8780000000000001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5">
        <f t="shared" si="6"/>
        <v>45587.95833333311</v>
      </c>
      <c r="C97" s="17">
        <f t="shared" si="9"/>
        <v>3.9583333333333277</v>
      </c>
      <c r="D97" s="34">
        <f>TBL_CalcDarwin[[#This Row],[Darwin PLOM
MW]]+TBL_CalcDarwin[[#This Row],[Darwin PLOME
MW]]</f>
        <v>217.79000000000002</v>
      </c>
      <c r="E97" s="34">
        <f>TBL_CalcDarwin[[#This Row],[PLOM MW TOTAL BARRA A]]+TBL_CalcDarwin[[#This Row],[PLOM MW TOTAL BARRA B]]</f>
        <v>209.13000000000002</v>
      </c>
      <c r="F97" s="34">
        <f>TBL_CalcDarwin[[#This Row],[PLOME MW TOTAL BARRA A]]+TBL_CalcDarwin[[#This Row],[PLOME MW TOTAL BARRA B]]</f>
        <v>8.66</v>
      </c>
      <c r="G97" s="48">
        <f>'Plantilla Datos'!D102</f>
        <v>8.8000000000000007</v>
      </c>
      <c r="H97" s="48">
        <f>'Plantilla Datos'!E102</f>
        <v>11</v>
      </c>
      <c r="I97" s="49">
        <f>'Plantilla Datos'!F102</f>
        <v>16.7</v>
      </c>
      <c r="J97" s="47">
        <f>CEILING('Plantilla Datos'!$L$3*TBL_CalcDarwin[[#This Row],[Darwin Gusts
m/s]],0.5)</f>
        <v>8</v>
      </c>
      <c r="K97" s="47">
        <f>CEILING('Plantilla Datos'!$L$4*TBL_CalcDarwin[[#This Row],[Darwin Gusts
m/s]],0.5)</f>
        <v>9.5</v>
      </c>
      <c r="L97" s="47">
        <f>CEILING(TBL_CalcDarwin[[#This Row],[Darwin Gusts
m/s]],0.5)</f>
        <v>11</v>
      </c>
      <c r="M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97" s="41">
        <f>INDEX(Curva_Temp[Temp],MATCH(TBL_CalcDarwin[[#This Row],[Darwin Temp.
°C]],Curva_Temp[Temp]))</f>
        <v>15</v>
      </c>
      <c r="R97" s="41">
        <f>INDEX(Curva_Temp[Warranted Power Curve for 
1.194Kg/m3 air density '[kW']
SG 5.0-145 (AM+1, 5.2MW) AT 
90M],MATCH(TBL_CalcDarwin[[#This Row],[Darwin Temp.
°C]],Curva_Temp[Temp]))</f>
        <v>5200</v>
      </c>
      <c r="S97" s="41" cm="1">
        <f t="array" ref="S97">INDEX(Curva_Temp[Temp],MATCH(TBL_CalcDarwin[[#This Row],[Darwin Temp.
°C]],Curva_Temp[Temp])+1)</f>
        <v>20</v>
      </c>
      <c r="T97" s="41" cm="1">
        <f t="array" ref="T97">INDEX(Curva_Temp[Warranted Power Curve for 
1.194Kg/m3 air density '[kW']
SG 5.0-145 (AM+1, 5.2MW) AT 
90M],MATCH(TBL_CalcDarwin[[#This Row],[Darwin Temp.
°C]],Curva_Temp[Temp])+1)</f>
        <v>5000</v>
      </c>
      <c r="U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97" s="41">
        <f>INDEX(Curva_Temp[Temp],MATCH(TBL_CalcDarwin[[#This Row],[Darwin Temp.
°C]],Curva_Temp[Temp]))</f>
        <v>15</v>
      </c>
      <c r="Z97" s="41">
        <f>INDEX(Curva_Temp[Warranted Power Curve for 
1.194Kg/m3 air density '[kW']
SG 5.0-145 (AM 0, 5.0MW) AT 
90M],MATCH(TBL_CalcDarwin[[#This Row],[Darwin Temp.
°C]],Curva_Temp[Temp]))</f>
        <v>5000</v>
      </c>
      <c r="AA97" s="41" cm="1">
        <f t="array" ref="AA97">INDEX(Curva_Temp[Temp],MATCH(TBL_CalcDarwin[[#This Row],[Darwin Temp.
°C]],Curva_Temp[Temp])+1)</f>
        <v>20</v>
      </c>
      <c r="AB97" s="41" cm="1">
        <f t="array" ref="AB97">INDEX(Curva_Temp[Warranted Power Curve for 
1.194Kg/m3 air density '[kW']
SG 5.0-145 (AM 0, 5.0MW) AT 
90M],MATCH(TBL_CalcDarwin[[#This Row],[Darwin Temp.
°C]],Curva_Temp[Temp])+1)</f>
        <v>5000</v>
      </c>
      <c r="AC97" s="45">
        <f>HLOOKUP(TBL_CalcDarwin[[#This Row],[Fecha]],'Plantilla AEG ES'!$E$1:$HX$13,2,FALSE)</f>
        <v>5</v>
      </c>
      <c r="AD97" s="45">
        <f>HLOOKUP(TBL_CalcDarwin[[#This Row],[Fecha]],'Plantilla AEG ES'!$E$1:$HX$13,3,FALSE)</f>
        <v>8</v>
      </c>
      <c r="AE97" s="45">
        <f>HLOOKUP(TBL_CalcDarwin[[#This Row],[Fecha]],'Plantilla AEG ES'!$E$1:$HX$13,4,FALSE)</f>
        <v>12</v>
      </c>
      <c r="AF97" s="45">
        <f>HLOOKUP(TBL_CalcDarwin[[#This Row],[Fecha]],'Plantilla AEG ES'!$E$1:$HX$13,5,FALSE)</f>
        <v>1</v>
      </c>
      <c r="AG97" s="45">
        <f>HLOOKUP(TBL_CalcDarwin[[#This Row],[Fecha]],'Plantilla AEG ES'!$E$1:$HX$13,6,FALSE)</f>
        <v>1</v>
      </c>
      <c r="AH97" s="45">
        <f>HLOOKUP(TBL_CalcDarwin[[#This Row],[Fecha]],'Plantilla AEG ES'!$E$1:$HX$13,7,FALSE)</f>
        <v>0</v>
      </c>
      <c r="AI97" s="46">
        <f>HLOOKUP(TBL_CalcDarwin[[#This Row],[Fecha]],'Plantilla AEG ES'!$E$1:$HX$13,8,FALSE)</f>
        <v>0</v>
      </c>
      <c r="AJ97" s="46">
        <f>HLOOKUP(TBL_CalcDarwin[[#This Row],[Fecha]],'Plantilla AEG ES'!$E$1:$HX$13,9,FALSE)</f>
        <v>3</v>
      </c>
      <c r="AK97" s="46">
        <f>HLOOKUP(TBL_CalcDarwin[[#This Row],[Fecha]],'Plantilla AEG ES'!$E$1:$HX$13,10,FALSE)</f>
        <v>12</v>
      </c>
      <c r="AL97" s="46">
        <f>HLOOKUP(TBL_CalcDarwin[[#This Row],[Fecha]],'Plantilla AEG ES'!$E$1:$HX$13,11,FALSE)</f>
        <v>1</v>
      </c>
      <c r="AM97" s="46">
        <f>HLOOKUP(TBL_CalcDarwin[[#This Row],[Fecha]],'Plantilla AEG ES'!$E$1:$HX$13,12,FALSE)</f>
        <v>7</v>
      </c>
      <c r="AN97" s="46">
        <f>HLOOKUP(TBL_CalcDarwin[[#This Row],[Fecha]],'Plantilla AEG ES'!$E$1:$HX$13,13,FALSE)</f>
        <v>1</v>
      </c>
      <c r="AO97" s="37">
        <f>TBL_CalcDarwin[[#This Row],[Lomitas - Barra A - 5.2 - Cerro]]+TBL_CalcDarwin[[#This Row],[Lomitas - Barra A - 5.2 - Medio]]+TBL_CalcDarwin[[#This Row],[Lomitas - Barra A - 5.2 - Mar]]</f>
        <v>25</v>
      </c>
      <c r="AP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97" s="37">
        <f>TBL_CalcDarwin[[#This Row],[Expansión - Barra A - 5.2 - Cerro]]+TBL_CalcDarwin[[#This Row],[Expansión - Barra A - 5.2 - Medio]]+TBL_CalcDarwin[[#This Row],[Expansión - Barra A - 5.2 - Mar]]</f>
        <v>2</v>
      </c>
      <c r="AT97" s="37">
        <f>TBL_CalcDarwin[[#This Row],[Expansión - Barra B - 5.2 - Cerro]]</f>
        <v>1</v>
      </c>
      <c r="AU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97" s="29">
        <f>TBL_CalcDarwin[[#This Row],[Expansión - Barra B - 5.2 - Cerro]]*TBL_CalcDarwin[[#This Row],[AEG 5.2 MW Cerro]]</f>
        <v>2.4089999999999998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5">
        <f t="shared" si="6"/>
        <v>45587.999999999774</v>
      </c>
      <c r="C98" s="17">
        <f t="shared" si="9"/>
        <v>3.9999999999999942</v>
      </c>
      <c r="D98" s="34">
        <f>TBL_CalcDarwin[[#This Row],[Darwin PLOM
MW]]+TBL_CalcDarwin[[#This Row],[Darwin PLOME
MW]]</f>
        <v>208.99200000000002</v>
      </c>
      <c r="E98" s="34">
        <f>TBL_CalcDarwin[[#This Row],[PLOM MW TOTAL BARRA A]]+TBL_CalcDarwin[[#This Row],[PLOM MW TOTAL BARRA B]]</f>
        <v>200.33200000000002</v>
      </c>
      <c r="F98" s="34">
        <f>TBL_CalcDarwin[[#This Row],[PLOME MW TOTAL BARRA A]]+TBL_CalcDarwin[[#This Row],[PLOME MW TOTAL BARRA B]]</f>
        <v>8.66</v>
      </c>
      <c r="G98" s="48">
        <f>'Plantilla Datos'!D103</f>
        <v>8.6999999999999993</v>
      </c>
      <c r="H98" s="48">
        <f>'Plantilla Datos'!E103</f>
        <v>10.9</v>
      </c>
      <c r="I98" s="49">
        <f>'Plantilla Datos'!F103</f>
        <v>16.600000000000001</v>
      </c>
      <c r="J98" s="47">
        <f>CEILING('Plantilla Datos'!$L$3*TBL_CalcDarwin[[#This Row],[Darwin Gusts
m/s]],0.5)</f>
        <v>8</v>
      </c>
      <c r="K98" s="47">
        <f>CEILING('Plantilla Datos'!$L$4*TBL_CalcDarwin[[#This Row],[Darwin Gusts
m/s]],0.5)</f>
        <v>9.5</v>
      </c>
      <c r="L98" s="47">
        <f>CEILING(TBL_CalcDarwin[[#This Row],[Darwin Gusts
m/s]],0.5)</f>
        <v>11</v>
      </c>
      <c r="M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98" s="41">
        <f>INDEX(Curva_Temp[Temp],MATCH(TBL_CalcDarwin[[#This Row],[Darwin Temp.
°C]],Curva_Temp[Temp]))</f>
        <v>15</v>
      </c>
      <c r="R98" s="41">
        <f>INDEX(Curva_Temp[Warranted Power Curve for 
1.194Kg/m3 air density '[kW']
SG 5.0-145 (AM+1, 5.2MW) AT 
90M],MATCH(TBL_CalcDarwin[[#This Row],[Darwin Temp.
°C]],Curva_Temp[Temp]))</f>
        <v>5200</v>
      </c>
      <c r="S98" s="41" cm="1">
        <f t="array" ref="S98">INDEX(Curva_Temp[Temp],MATCH(TBL_CalcDarwin[[#This Row],[Darwin Temp.
°C]],Curva_Temp[Temp])+1)</f>
        <v>20</v>
      </c>
      <c r="T98" s="41" cm="1">
        <f t="array" ref="T98">INDEX(Curva_Temp[Warranted Power Curve for 
1.194Kg/m3 air density '[kW']
SG 5.0-145 (AM+1, 5.2MW) AT 
90M],MATCH(TBL_CalcDarwin[[#This Row],[Darwin Temp.
°C]],Curva_Temp[Temp])+1)</f>
        <v>5000</v>
      </c>
      <c r="U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98" s="41">
        <f>INDEX(Curva_Temp[Temp],MATCH(TBL_CalcDarwin[[#This Row],[Darwin Temp.
°C]],Curva_Temp[Temp]))</f>
        <v>15</v>
      </c>
      <c r="Z98" s="41">
        <f>INDEX(Curva_Temp[Warranted Power Curve for 
1.194Kg/m3 air density '[kW']
SG 5.0-145 (AM 0, 5.0MW) AT 
90M],MATCH(TBL_CalcDarwin[[#This Row],[Darwin Temp.
°C]],Curva_Temp[Temp]))</f>
        <v>5000</v>
      </c>
      <c r="AA98" s="41" cm="1">
        <f t="array" ref="AA98">INDEX(Curva_Temp[Temp],MATCH(TBL_CalcDarwin[[#This Row],[Darwin Temp.
°C]],Curva_Temp[Temp])+1)</f>
        <v>20</v>
      </c>
      <c r="AB98" s="41" cm="1">
        <f t="array" ref="AB98">INDEX(Curva_Temp[Warranted Power Curve for 
1.194Kg/m3 air density '[kW']
SG 5.0-145 (AM 0, 5.0MW) AT 
90M],MATCH(TBL_CalcDarwin[[#This Row],[Darwin Temp.
°C]],Curva_Temp[Temp])+1)</f>
        <v>5000</v>
      </c>
      <c r="AC98" s="45">
        <f>HLOOKUP(TBL_CalcDarwin[[#This Row],[Fecha]],'Plantilla AEG ES'!$E$1:$HX$13,2,FALSE)</f>
        <v>5</v>
      </c>
      <c r="AD98" s="45">
        <f>HLOOKUP(TBL_CalcDarwin[[#This Row],[Fecha]],'Plantilla AEG ES'!$E$1:$HX$13,3,FALSE)</f>
        <v>7</v>
      </c>
      <c r="AE98" s="45">
        <f>HLOOKUP(TBL_CalcDarwin[[#This Row],[Fecha]],'Plantilla AEG ES'!$E$1:$HX$13,4,FALSE)</f>
        <v>11</v>
      </c>
      <c r="AF98" s="45">
        <f>HLOOKUP(TBL_CalcDarwin[[#This Row],[Fecha]],'Plantilla AEG ES'!$E$1:$HX$13,5,FALSE)</f>
        <v>1</v>
      </c>
      <c r="AG98" s="45">
        <f>HLOOKUP(TBL_CalcDarwin[[#This Row],[Fecha]],'Plantilla AEG ES'!$E$1:$HX$13,6,FALSE)</f>
        <v>1</v>
      </c>
      <c r="AH98" s="45">
        <f>HLOOKUP(TBL_CalcDarwin[[#This Row],[Fecha]],'Plantilla AEG ES'!$E$1:$HX$13,7,FALSE)</f>
        <v>0</v>
      </c>
      <c r="AI98" s="46">
        <f>HLOOKUP(TBL_CalcDarwin[[#This Row],[Fecha]],'Plantilla AEG ES'!$E$1:$HX$13,8,FALSE)</f>
        <v>0</v>
      </c>
      <c r="AJ98" s="46">
        <f>HLOOKUP(TBL_CalcDarwin[[#This Row],[Fecha]],'Plantilla AEG ES'!$E$1:$HX$13,9,FALSE)</f>
        <v>3</v>
      </c>
      <c r="AK98" s="46">
        <f>HLOOKUP(TBL_CalcDarwin[[#This Row],[Fecha]],'Plantilla AEG ES'!$E$1:$HX$13,10,FALSE)</f>
        <v>12</v>
      </c>
      <c r="AL98" s="46">
        <f>HLOOKUP(TBL_CalcDarwin[[#This Row],[Fecha]],'Plantilla AEG ES'!$E$1:$HX$13,11,FALSE)</f>
        <v>1</v>
      </c>
      <c r="AM98" s="46">
        <f>HLOOKUP(TBL_CalcDarwin[[#This Row],[Fecha]],'Plantilla AEG ES'!$E$1:$HX$13,12,FALSE)</f>
        <v>7</v>
      </c>
      <c r="AN98" s="46">
        <f>HLOOKUP(TBL_CalcDarwin[[#This Row],[Fecha]],'Plantilla AEG ES'!$E$1:$HX$13,13,FALSE)</f>
        <v>1</v>
      </c>
      <c r="AO98" s="37">
        <f>TBL_CalcDarwin[[#This Row],[Lomitas - Barra A - 5.2 - Cerro]]+TBL_CalcDarwin[[#This Row],[Lomitas - Barra A - 5.2 - Medio]]+TBL_CalcDarwin[[#This Row],[Lomitas - Barra A - 5.2 - Mar]]</f>
        <v>23</v>
      </c>
      <c r="AP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98" s="37">
        <f>TBL_CalcDarwin[[#This Row],[Expansión - Barra A - 5.2 - Cerro]]+TBL_CalcDarwin[[#This Row],[Expansión - Barra A - 5.2 - Medio]]+TBL_CalcDarwin[[#This Row],[Expansión - Barra A - 5.2 - Mar]]</f>
        <v>2</v>
      </c>
      <c r="AT98" s="37">
        <f>TBL_CalcDarwin[[#This Row],[Expansión - Barra B - 5.2 - Cerro]]</f>
        <v>1</v>
      </c>
      <c r="AU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98" s="29">
        <f>TBL_CalcDarwin[[#This Row],[Expansión - Barra B - 5.2 - Cerro]]*TBL_CalcDarwin[[#This Row],[AEG 5.2 MW Cerro]]</f>
        <v>2.4089999999999998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5">
        <f t="shared" si="6"/>
        <v>45588.041666666439</v>
      </c>
      <c r="C99" s="17">
        <f t="shared" si="9"/>
        <v>4.0416666666666607</v>
      </c>
      <c r="D99" s="34">
        <f>TBL_CalcDarwin[[#This Row],[Darwin PLOM
MW]]+TBL_CalcDarwin[[#This Row],[Darwin PLOME
MW]]</f>
        <v>208.99200000000002</v>
      </c>
      <c r="E99" s="34">
        <f>TBL_CalcDarwin[[#This Row],[PLOM MW TOTAL BARRA A]]+TBL_CalcDarwin[[#This Row],[PLOM MW TOTAL BARRA B]]</f>
        <v>200.33200000000002</v>
      </c>
      <c r="F99" s="34">
        <f>TBL_CalcDarwin[[#This Row],[PLOME MW TOTAL BARRA A]]+TBL_CalcDarwin[[#This Row],[PLOME MW TOTAL BARRA B]]</f>
        <v>8.66</v>
      </c>
      <c r="G99" s="48">
        <f>'Plantilla Datos'!D104</f>
        <v>8.6999999999999993</v>
      </c>
      <c r="H99" s="48">
        <f>'Plantilla Datos'!E104</f>
        <v>10.8</v>
      </c>
      <c r="I99" s="49">
        <f>'Plantilla Datos'!F104</f>
        <v>16.5</v>
      </c>
      <c r="J99" s="47">
        <f>CEILING('Plantilla Datos'!$L$3*TBL_CalcDarwin[[#This Row],[Darwin Gusts
m/s]],0.5)</f>
        <v>8</v>
      </c>
      <c r="K99" s="47">
        <f>CEILING('Plantilla Datos'!$L$4*TBL_CalcDarwin[[#This Row],[Darwin Gusts
m/s]],0.5)</f>
        <v>9.5</v>
      </c>
      <c r="L99" s="47">
        <f>CEILING(TBL_CalcDarwin[[#This Row],[Darwin Gusts
m/s]],0.5)</f>
        <v>11</v>
      </c>
      <c r="M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99" s="41">
        <f>INDEX(Curva_Temp[Temp],MATCH(TBL_CalcDarwin[[#This Row],[Darwin Temp.
°C]],Curva_Temp[Temp]))</f>
        <v>15</v>
      </c>
      <c r="R99" s="41">
        <f>INDEX(Curva_Temp[Warranted Power Curve for 
1.194Kg/m3 air density '[kW']
SG 5.0-145 (AM+1, 5.2MW) AT 
90M],MATCH(TBL_CalcDarwin[[#This Row],[Darwin Temp.
°C]],Curva_Temp[Temp]))</f>
        <v>5200</v>
      </c>
      <c r="S99" s="41" cm="1">
        <f t="array" ref="S99">INDEX(Curva_Temp[Temp],MATCH(TBL_CalcDarwin[[#This Row],[Darwin Temp.
°C]],Curva_Temp[Temp])+1)</f>
        <v>20</v>
      </c>
      <c r="T99" s="41" cm="1">
        <f t="array" ref="T99">INDEX(Curva_Temp[Warranted Power Curve for 
1.194Kg/m3 air density '[kW']
SG 5.0-145 (AM+1, 5.2MW) AT 
90M],MATCH(TBL_CalcDarwin[[#This Row],[Darwin Temp.
°C]],Curva_Temp[Temp])+1)</f>
        <v>5000</v>
      </c>
      <c r="U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99" s="41">
        <f>INDEX(Curva_Temp[Temp],MATCH(TBL_CalcDarwin[[#This Row],[Darwin Temp.
°C]],Curva_Temp[Temp]))</f>
        <v>15</v>
      </c>
      <c r="Z99" s="41">
        <f>INDEX(Curva_Temp[Warranted Power Curve for 
1.194Kg/m3 air density '[kW']
SG 5.0-145 (AM 0, 5.0MW) AT 
90M],MATCH(TBL_CalcDarwin[[#This Row],[Darwin Temp.
°C]],Curva_Temp[Temp]))</f>
        <v>5000</v>
      </c>
      <c r="AA99" s="41" cm="1">
        <f t="array" ref="AA99">INDEX(Curva_Temp[Temp],MATCH(TBL_CalcDarwin[[#This Row],[Darwin Temp.
°C]],Curva_Temp[Temp])+1)</f>
        <v>20</v>
      </c>
      <c r="AB99" s="41" cm="1">
        <f t="array" ref="AB99">INDEX(Curva_Temp[Warranted Power Curve for 
1.194Kg/m3 air density '[kW']
SG 5.0-145 (AM 0, 5.0MW) AT 
90M],MATCH(TBL_CalcDarwin[[#This Row],[Darwin Temp.
°C]],Curva_Temp[Temp])+1)</f>
        <v>5000</v>
      </c>
      <c r="AC99" s="45">
        <f>HLOOKUP(TBL_CalcDarwin[[#This Row],[Fecha]],'Plantilla AEG ES'!$E$1:$HX$13,2,FALSE)</f>
        <v>5</v>
      </c>
      <c r="AD99" s="45">
        <f>HLOOKUP(TBL_CalcDarwin[[#This Row],[Fecha]],'Plantilla AEG ES'!$E$1:$HX$13,3,FALSE)</f>
        <v>7</v>
      </c>
      <c r="AE99" s="45">
        <f>HLOOKUP(TBL_CalcDarwin[[#This Row],[Fecha]],'Plantilla AEG ES'!$E$1:$HX$13,4,FALSE)</f>
        <v>11</v>
      </c>
      <c r="AF99" s="45">
        <f>HLOOKUP(TBL_CalcDarwin[[#This Row],[Fecha]],'Plantilla AEG ES'!$E$1:$HX$13,5,FALSE)</f>
        <v>1</v>
      </c>
      <c r="AG99" s="45">
        <f>HLOOKUP(TBL_CalcDarwin[[#This Row],[Fecha]],'Plantilla AEG ES'!$E$1:$HX$13,6,FALSE)</f>
        <v>1</v>
      </c>
      <c r="AH99" s="45">
        <f>HLOOKUP(TBL_CalcDarwin[[#This Row],[Fecha]],'Plantilla AEG ES'!$E$1:$HX$13,7,FALSE)</f>
        <v>0</v>
      </c>
      <c r="AI99" s="46">
        <f>HLOOKUP(TBL_CalcDarwin[[#This Row],[Fecha]],'Plantilla AEG ES'!$E$1:$HX$13,8,FALSE)</f>
        <v>0</v>
      </c>
      <c r="AJ99" s="46">
        <f>HLOOKUP(TBL_CalcDarwin[[#This Row],[Fecha]],'Plantilla AEG ES'!$E$1:$HX$13,9,FALSE)</f>
        <v>3</v>
      </c>
      <c r="AK99" s="46">
        <f>HLOOKUP(TBL_CalcDarwin[[#This Row],[Fecha]],'Plantilla AEG ES'!$E$1:$HX$13,10,FALSE)</f>
        <v>12</v>
      </c>
      <c r="AL99" s="46">
        <f>HLOOKUP(TBL_CalcDarwin[[#This Row],[Fecha]],'Plantilla AEG ES'!$E$1:$HX$13,11,FALSE)</f>
        <v>1</v>
      </c>
      <c r="AM99" s="46">
        <f>HLOOKUP(TBL_CalcDarwin[[#This Row],[Fecha]],'Plantilla AEG ES'!$E$1:$HX$13,12,FALSE)</f>
        <v>7</v>
      </c>
      <c r="AN99" s="46">
        <f>HLOOKUP(TBL_CalcDarwin[[#This Row],[Fecha]],'Plantilla AEG ES'!$E$1:$HX$13,13,FALSE)</f>
        <v>1</v>
      </c>
      <c r="AO99" s="37">
        <f>TBL_CalcDarwin[[#This Row],[Lomitas - Barra A - 5.2 - Cerro]]+TBL_CalcDarwin[[#This Row],[Lomitas - Barra A - 5.2 - Medio]]+TBL_CalcDarwin[[#This Row],[Lomitas - Barra A - 5.2 - Mar]]</f>
        <v>23</v>
      </c>
      <c r="AP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99" s="37">
        <f>TBL_CalcDarwin[[#This Row],[Expansión - Barra A - 5.2 - Cerro]]+TBL_CalcDarwin[[#This Row],[Expansión - Barra A - 5.2 - Medio]]+TBL_CalcDarwin[[#This Row],[Expansión - Barra A - 5.2 - Mar]]</f>
        <v>2</v>
      </c>
      <c r="AT99" s="37">
        <f>TBL_CalcDarwin[[#This Row],[Expansión - Barra B - 5.2 - Cerro]]</f>
        <v>1</v>
      </c>
      <c r="AU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99" s="29">
        <f>TBL_CalcDarwin[[#This Row],[Expansión - Barra B - 5.2 - Cerro]]*TBL_CalcDarwin[[#This Row],[AEG 5.2 MW Cerro]]</f>
        <v>2.4089999999999998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5">
        <f t="shared" si="6"/>
        <v>45588.083333333103</v>
      </c>
      <c r="C100" s="17">
        <f t="shared" si="9"/>
        <v>4.0833333333333277</v>
      </c>
      <c r="D100" s="34">
        <f>TBL_CalcDarwin[[#This Row],[Darwin PLOM
MW]]+TBL_CalcDarwin[[#This Row],[Darwin PLOME
MW]]</f>
        <v>191.90899999999999</v>
      </c>
      <c r="E100" s="34">
        <f>TBL_CalcDarwin[[#This Row],[PLOM MW TOTAL BARRA A]]+TBL_CalcDarwin[[#This Row],[PLOM MW TOTAL BARRA B]]</f>
        <v>184.58699999999999</v>
      </c>
      <c r="F100" s="34">
        <f>TBL_CalcDarwin[[#This Row],[PLOME MW TOTAL BARRA A]]+TBL_CalcDarwin[[#This Row],[PLOME MW TOTAL BARRA B]]</f>
        <v>7.3220000000000001</v>
      </c>
      <c r="G100" s="48">
        <f>'Plantilla Datos'!D105</f>
        <v>8.1</v>
      </c>
      <c r="H100" s="48">
        <f>'Plantilla Datos'!E105</f>
        <v>10.199999999999999</v>
      </c>
      <c r="I100" s="49">
        <f>'Plantilla Datos'!F105</f>
        <v>16.600000000000001</v>
      </c>
      <c r="J100" s="47">
        <f>CEILING('Plantilla Datos'!$L$3*TBL_CalcDarwin[[#This Row],[Darwin Gusts
m/s]],0.5)</f>
        <v>7.5</v>
      </c>
      <c r="K100" s="47">
        <f>CEILING('Plantilla Datos'!$L$4*TBL_CalcDarwin[[#This Row],[Darwin Gusts
m/s]],0.5)</f>
        <v>9</v>
      </c>
      <c r="L100" s="47">
        <f>CEILING(TBL_CalcDarwin[[#This Row],[Darwin Gusts
m/s]],0.5)</f>
        <v>10.5</v>
      </c>
      <c r="M1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00" s="41">
        <f>INDEX(Curva_Temp[Temp],MATCH(TBL_CalcDarwin[[#This Row],[Darwin Temp.
°C]],Curva_Temp[Temp]))</f>
        <v>15</v>
      </c>
      <c r="R100" s="41">
        <f>INDEX(Curva_Temp[Warranted Power Curve for 
1.194Kg/m3 air density '[kW']
SG 5.0-145 (AM+1, 5.2MW) AT 
90M],MATCH(TBL_CalcDarwin[[#This Row],[Darwin Temp.
°C]],Curva_Temp[Temp]))</f>
        <v>5200</v>
      </c>
      <c r="S100" s="41" cm="1">
        <f t="array" ref="S100">INDEX(Curva_Temp[Temp],MATCH(TBL_CalcDarwin[[#This Row],[Darwin Temp.
°C]],Curva_Temp[Temp])+1)</f>
        <v>20</v>
      </c>
      <c r="T100" s="41" cm="1">
        <f t="array" ref="T100">INDEX(Curva_Temp[Warranted Power Curve for 
1.194Kg/m3 air density '[kW']
SG 5.0-145 (AM+1, 5.2MW) AT 
90M],MATCH(TBL_CalcDarwin[[#This Row],[Darwin Temp.
°C]],Curva_Temp[Temp])+1)</f>
        <v>5000</v>
      </c>
      <c r="U1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00" s="41">
        <f>INDEX(Curva_Temp[Temp],MATCH(TBL_CalcDarwin[[#This Row],[Darwin Temp.
°C]],Curva_Temp[Temp]))</f>
        <v>15</v>
      </c>
      <c r="Z100" s="41">
        <f>INDEX(Curva_Temp[Warranted Power Curve for 
1.194Kg/m3 air density '[kW']
SG 5.0-145 (AM 0, 5.0MW) AT 
90M],MATCH(TBL_CalcDarwin[[#This Row],[Darwin Temp.
°C]],Curva_Temp[Temp]))</f>
        <v>5000</v>
      </c>
      <c r="AA100" s="41" cm="1">
        <f t="array" ref="AA100">INDEX(Curva_Temp[Temp],MATCH(TBL_CalcDarwin[[#This Row],[Darwin Temp.
°C]],Curva_Temp[Temp])+1)</f>
        <v>20</v>
      </c>
      <c r="AB100" s="41" cm="1">
        <f t="array" ref="AB100">INDEX(Curva_Temp[Warranted Power Curve for 
1.194Kg/m3 air density '[kW']
SG 5.0-145 (AM 0, 5.0MW) AT 
90M],MATCH(TBL_CalcDarwin[[#This Row],[Darwin Temp.
°C]],Curva_Temp[Temp])+1)</f>
        <v>5000</v>
      </c>
      <c r="AC100" s="45">
        <f>HLOOKUP(TBL_CalcDarwin[[#This Row],[Fecha]],'Plantilla AEG ES'!$E$1:$HX$13,2,FALSE)</f>
        <v>5</v>
      </c>
      <c r="AD100" s="45">
        <f>HLOOKUP(TBL_CalcDarwin[[#This Row],[Fecha]],'Plantilla AEG ES'!$E$1:$HX$13,3,FALSE)</f>
        <v>7</v>
      </c>
      <c r="AE100" s="45">
        <f>HLOOKUP(TBL_CalcDarwin[[#This Row],[Fecha]],'Plantilla AEG ES'!$E$1:$HX$13,4,FALSE)</f>
        <v>11</v>
      </c>
      <c r="AF100" s="45">
        <f>HLOOKUP(TBL_CalcDarwin[[#This Row],[Fecha]],'Plantilla AEG ES'!$E$1:$HX$13,5,FALSE)</f>
        <v>1</v>
      </c>
      <c r="AG100" s="45">
        <f>HLOOKUP(TBL_CalcDarwin[[#This Row],[Fecha]],'Plantilla AEG ES'!$E$1:$HX$13,6,FALSE)</f>
        <v>1</v>
      </c>
      <c r="AH100" s="45">
        <f>HLOOKUP(TBL_CalcDarwin[[#This Row],[Fecha]],'Plantilla AEG ES'!$E$1:$HX$13,7,FALSE)</f>
        <v>0</v>
      </c>
      <c r="AI100" s="46">
        <f>HLOOKUP(TBL_CalcDarwin[[#This Row],[Fecha]],'Plantilla AEG ES'!$E$1:$HX$13,8,FALSE)</f>
        <v>0</v>
      </c>
      <c r="AJ100" s="46">
        <f>HLOOKUP(TBL_CalcDarwin[[#This Row],[Fecha]],'Plantilla AEG ES'!$E$1:$HX$13,9,FALSE)</f>
        <v>3</v>
      </c>
      <c r="AK100" s="46">
        <f>HLOOKUP(TBL_CalcDarwin[[#This Row],[Fecha]],'Plantilla AEG ES'!$E$1:$HX$13,10,FALSE)</f>
        <v>12</v>
      </c>
      <c r="AL100" s="46">
        <f>HLOOKUP(TBL_CalcDarwin[[#This Row],[Fecha]],'Plantilla AEG ES'!$E$1:$HX$13,11,FALSE)</f>
        <v>1</v>
      </c>
      <c r="AM100" s="46">
        <f>HLOOKUP(TBL_CalcDarwin[[#This Row],[Fecha]],'Plantilla AEG ES'!$E$1:$HX$13,12,FALSE)</f>
        <v>7</v>
      </c>
      <c r="AN100" s="46">
        <f>HLOOKUP(TBL_CalcDarwin[[#This Row],[Fecha]],'Plantilla AEG ES'!$E$1:$HX$13,13,FALSE)</f>
        <v>1</v>
      </c>
      <c r="AO100" s="37">
        <f>TBL_CalcDarwin[[#This Row],[Lomitas - Barra A - 5.2 - Cerro]]+TBL_CalcDarwin[[#This Row],[Lomitas - Barra A - 5.2 - Medio]]+TBL_CalcDarwin[[#This Row],[Lomitas - Barra A - 5.2 - Mar]]</f>
        <v>23</v>
      </c>
      <c r="AP1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1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00" s="37">
        <f>TBL_CalcDarwin[[#This Row],[Expansión - Barra A - 5.2 - Cerro]]+TBL_CalcDarwin[[#This Row],[Expansión - Barra A - 5.2 - Medio]]+TBL_CalcDarwin[[#This Row],[Expansión - Barra A - 5.2 - Mar]]</f>
        <v>2</v>
      </c>
      <c r="AT100" s="37">
        <f>TBL_CalcDarwin[[#This Row],[Expansión - Barra B - 5.2 - Cerro]]</f>
        <v>1</v>
      </c>
      <c r="AU1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00" s="29">
        <f>TBL_CalcDarwin[[#This Row],[Expansión - Barra B - 5.2 - Cerro]]*TBL_CalcDarwin[[#This Row],[AEG 5.2 MW Cerro]]</f>
        <v>1.978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5">
        <f t="shared" si="6"/>
        <v>45588.124999999767</v>
      </c>
      <c r="C101" s="17">
        <f>C100+TIME(1,0,0)</f>
        <v>4.1249999999999947</v>
      </c>
      <c r="D101" s="34">
        <f>TBL_CalcDarwin[[#This Row],[Darwin PLOM
MW]]+TBL_CalcDarwin[[#This Row],[Darwin PLOME
MW]]</f>
        <v>172.44799999999998</v>
      </c>
      <c r="E101" s="34">
        <f>TBL_CalcDarwin[[#This Row],[PLOM MW TOTAL BARRA A]]+TBL_CalcDarwin[[#This Row],[PLOM MW TOTAL BARRA B]]</f>
        <v>166.37599999999998</v>
      </c>
      <c r="F101" s="34">
        <f>TBL_CalcDarwin[[#This Row],[PLOME MW TOTAL BARRA A]]+TBL_CalcDarwin[[#This Row],[PLOME MW TOTAL BARRA B]]</f>
        <v>6.0719999999999992</v>
      </c>
      <c r="G101" s="48">
        <f>'Plantilla Datos'!D106</f>
        <v>7.6</v>
      </c>
      <c r="H101" s="48">
        <f>'Plantilla Datos'!E106</f>
        <v>9.6</v>
      </c>
      <c r="I101" s="49">
        <f>'Plantilla Datos'!F106</f>
        <v>16.7</v>
      </c>
      <c r="J101" s="47">
        <f>CEILING('Plantilla Datos'!$L$3*TBL_CalcDarwin[[#This Row],[Darwin Gusts
m/s]],0.5)</f>
        <v>7</v>
      </c>
      <c r="K101" s="47">
        <f>CEILING('Plantilla Datos'!$L$4*TBL_CalcDarwin[[#This Row],[Darwin Gusts
m/s]],0.5)</f>
        <v>8.5</v>
      </c>
      <c r="L101" s="47">
        <f>CEILING(TBL_CalcDarwin[[#This Row],[Darwin Gusts
m/s]],0.5)</f>
        <v>10</v>
      </c>
      <c r="M1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01" s="41">
        <f>INDEX(Curva_Temp[Temp],MATCH(TBL_CalcDarwin[[#This Row],[Darwin Temp.
°C]],Curva_Temp[Temp]))</f>
        <v>15</v>
      </c>
      <c r="R101" s="41">
        <f>INDEX(Curva_Temp[Warranted Power Curve for 
1.194Kg/m3 air density '[kW']
SG 5.0-145 (AM+1, 5.2MW) AT 
90M],MATCH(TBL_CalcDarwin[[#This Row],[Darwin Temp.
°C]],Curva_Temp[Temp]))</f>
        <v>5200</v>
      </c>
      <c r="S101" s="41" cm="1">
        <f t="array" ref="S101">INDEX(Curva_Temp[Temp],MATCH(TBL_CalcDarwin[[#This Row],[Darwin Temp.
°C]],Curva_Temp[Temp])+1)</f>
        <v>20</v>
      </c>
      <c r="T101" s="41" cm="1">
        <f t="array" ref="T101">INDEX(Curva_Temp[Warranted Power Curve for 
1.194Kg/m3 air density '[kW']
SG 5.0-145 (AM+1, 5.2MW) AT 
90M],MATCH(TBL_CalcDarwin[[#This Row],[Darwin Temp.
°C]],Curva_Temp[Temp])+1)</f>
        <v>5000</v>
      </c>
      <c r="U1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01" s="41">
        <f>INDEX(Curva_Temp[Temp],MATCH(TBL_CalcDarwin[[#This Row],[Darwin Temp.
°C]],Curva_Temp[Temp]))</f>
        <v>15</v>
      </c>
      <c r="Z101" s="41">
        <f>INDEX(Curva_Temp[Warranted Power Curve for 
1.194Kg/m3 air density '[kW']
SG 5.0-145 (AM 0, 5.0MW) AT 
90M],MATCH(TBL_CalcDarwin[[#This Row],[Darwin Temp.
°C]],Curva_Temp[Temp]))</f>
        <v>5000</v>
      </c>
      <c r="AA101" s="41" cm="1">
        <f t="array" ref="AA101">INDEX(Curva_Temp[Temp],MATCH(TBL_CalcDarwin[[#This Row],[Darwin Temp.
°C]],Curva_Temp[Temp])+1)</f>
        <v>20</v>
      </c>
      <c r="AB101" s="41" cm="1">
        <f t="array" ref="AB101">INDEX(Curva_Temp[Warranted Power Curve for 
1.194Kg/m3 air density '[kW']
SG 5.0-145 (AM 0, 5.0MW) AT 
90M],MATCH(TBL_CalcDarwin[[#This Row],[Darwin Temp.
°C]],Curva_Temp[Temp])+1)</f>
        <v>5000</v>
      </c>
      <c r="AC101" s="45">
        <f>HLOOKUP(TBL_CalcDarwin[[#This Row],[Fecha]],'Plantilla AEG ES'!$E$1:$HX$13,2,FALSE)</f>
        <v>5</v>
      </c>
      <c r="AD101" s="45">
        <f>HLOOKUP(TBL_CalcDarwin[[#This Row],[Fecha]],'Plantilla AEG ES'!$E$1:$HX$13,3,FALSE)</f>
        <v>7</v>
      </c>
      <c r="AE101" s="45">
        <f>HLOOKUP(TBL_CalcDarwin[[#This Row],[Fecha]],'Plantilla AEG ES'!$E$1:$HX$13,4,FALSE)</f>
        <v>11</v>
      </c>
      <c r="AF101" s="45">
        <f>HLOOKUP(TBL_CalcDarwin[[#This Row],[Fecha]],'Plantilla AEG ES'!$E$1:$HX$13,5,FALSE)</f>
        <v>1</v>
      </c>
      <c r="AG101" s="45">
        <f>HLOOKUP(TBL_CalcDarwin[[#This Row],[Fecha]],'Plantilla AEG ES'!$E$1:$HX$13,6,FALSE)</f>
        <v>1</v>
      </c>
      <c r="AH101" s="45">
        <f>HLOOKUP(TBL_CalcDarwin[[#This Row],[Fecha]],'Plantilla AEG ES'!$E$1:$HX$13,7,FALSE)</f>
        <v>0</v>
      </c>
      <c r="AI101" s="46">
        <f>HLOOKUP(TBL_CalcDarwin[[#This Row],[Fecha]],'Plantilla AEG ES'!$E$1:$HX$13,8,FALSE)</f>
        <v>0</v>
      </c>
      <c r="AJ101" s="46">
        <f>HLOOKUP(TBL_CalcDarwin[[#This Row],[Fecha]],'Plantilla AEG ES'!$E$1:$HX$13,9,FALSE)</f>
        <v>3</v>
      </c>
      <c r="AK101" s="46">
        <f>HLOOKUP(TBL_CalcDarwin[[#This Row],[Fecha]],'Plantilla AEG ES'!$E$1:$HX$13,10,FALSE)</f>
        <v>12</v>
      </c>
      <c r="AL101" s="46">
        <f>HLOOKUP(TBL_CalcDarwin[[#This Row],[Fecha]],'Plantilla AEG ES'!$E$1:$HX$13,11,FALSE)</f>
        <v>1</v>
      </c>
      <c r="AM101" s="46">
        <f>HLOOKUP(TBL_CalcDarwin[[#This Row],[Fecha]],'Plantilla AEG ES'!$E$1:$HX$13,12,FALSE)</f>
        <v>7</v>
      </c>
      <c r="AN101" s="46">
        <f>HLOOKUP(TBL_CalcDarwin[[#This Row],[Fecha]],'Plantilla AEG ES'!$E$1:$HX$13,13,FALSE)</f>
        <v>1</v>
      </c>
      <c r="AO101" s="37">
        <f>TBL_CalcDarwin[[#This Row],[Lomitas - Barra A - 5.2 - Cerro]]+TBL_CalcDarwin[[#This Row],[Lomitas - Barra A - 5.2 - Medio]]+TBL_CalcDarwin[[#This Row],[Lomitas - Barra A - 5.2 - Mar]]</f>
        <v>23</v>
      </c>
      <c r="AP1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75.254999999999995</v>
      </c>
      <c r="AR1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01" s="37">
        <f>TBL_CalcDarwin[[#This Row],[Expansión - Barra A - 5.2 - Cerro]]+TBL_CalcDarwin[[#This Row],[Expansión - Barra A - 5.2 - Medio]]+TBL_CalcDarwin[[#This Row],[Expansión - Barra A - 5.2 - Mar]]</f>
        <v>2</v>
      </c>
      <c r="AT101" s="37">
        <f>TBL_CalcDarwin[[#This Row],[Expansión - Barra B - 5.2 - Cerro]]</f>
        <v>1</v>
      </c>
      <c r="AU1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01" s="29">
        <f>TBL_CalcDarwin[[#This Row],[Expansión - Barra B - 5.2 - Cerro]]*TBL_CalcDarwin[[#This Row],[AEG 5.2 MW Cerro]]</f>
        <v>1.597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5">
        <f t="shared" si="6"/>
        <v>45588.166666666431</v>
      </c>
      <c r="C102" s="17">
        <f t="shared" ref="C102:C118" si="10">C101+TIME(1,0,0)</f>
        <v>4.1666666666666616</v>
      </c>
      <c r="D102" s="34">
        <f>TBL_CalcDarwin[[#This Row],[Darwin PLOM
MW]]+TBL_CalcDarwin[[#This Row],[Darwin PLOME
MW]]</f>
        <v>137.39600000000002</v>
      </c>
      <c r="E102" s="34">
        <f>TBL_CalcDarwin[[#This Row],[PLOM MW TOTAL BARRA A]]+TBL_CalcDarwin[[#This Row],[PLOM MW TOTAL BARRA B]]</f>
        <v>132.45500000000001</v>
      </c>
      <c r="F102" s="34">
        <f>TBL_CalcDarwin[[#This Row],[PLOME MW TOTAL BARRA A]]+TBL_CalcDarwin[[#This Row],[PLOME MW TOTAL BARRA B]]</f>
        <v>4.9409999999999998</v>
      </c>
      <c r="G102" s="48">
        <f>'Plantilla Datos'!D107</f>
        <v>7.1</v>
      </c>
      <c r="H102" s="48">
        <f>'Plantilla Datos'!E107</f>
        <v>8.9</v>
      </c>
      <c r="I102" s="49">
        <f>'Plantilla Datos'!F107</f>
        <v>16.8</v>
      </c>
      <c r="J102" s="47">
        <f>CEILING('Plantilla Datos'!$L$3*TBL_CalcDarwin[[#This Row],[Darwin Gusts
m/s]],0.5)</f>
        <v>6.5</v>
      </c>
      <c r="K102" s="47">
        <f>CEILING('Plantilla Datos'!$L$4*TBL_CalcDarwin[[#This Row],[Darwin Gusts
m/s]],0.5)</f>
        <v>8</v>
      </c>
      <c r="L102" s="47">
        <f>CEILING(TBL_CalcDarwin[[#This Row],[Darwin Gusts
m/s]],0.5)</f>
        <v>9</v>
      </c>
      <c r="M1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02" s="41">
        <f>INDEX(Curva_Temp[Temp],MATCH(TBL_CalcDarwin[[#This Row],[Darwin Temp.
°C]],Curva_Temp[Temp]))</f>
        <v>15</v>
      </c>
      <c r="R102" s="41">
        <f>INDEX(Curva_Temp[Warranted Power Curve for 
1.194Kg/m3 air density '[kW']
SG 5.0-145 (AM+1, 5.2MW) AT 
90M],MATCH(TBL_CalcDarwin[[#This Row],[Darwin Temp.
°C]],Curva_Temp[Temp]))</f>
        <v>5200</v>
      </c>
      <c r="S102" s="41" cm="1">
        <f t="array" ref="S102">INDEX(Curva_Temp[Temp],MATCH(TBL_CalcDarwin[[#This Row],[Darwin Temp.
°C]],Curva_Temp[Temp])+1)</f>
        <v>20</v>
      </c>
      <c r="T102" s="41" cm="1">
        <f t="array" ref="T102">INDEX(Curva_Temp[Warranted Power Curve for 
1.194Kg/m3 air density '[kW']
SG 5.0-145 (AM+1, 5.2MW) AT 
90M],MATCH(TBL_CalcDarwin[[#This Row],[Darwin Temp.
°C]],Curva_Temp[Temp])+1)</f>
        <v>5000</v>
      </c>
      <c r="U1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02" s="41">
        <f>INDEX(Curva_Temp[Temp],MATCH(TBL_CalcDarwin[[#This Row],[Darwin Temp.
°C]],Curva_Temp[Temp]))</f>
        <v>15</v>
      </c>
      <c r="Z102" s="41">
        <f>INDEX(Curva_Temp[Warranted Power Curve for 
1.194Kg/m3 air density '[kW']
SG 5.0-145 (AM 0, 5.0MW) AT 
90M],MATCH(TBL_CalcDarwin[[#This Row],[Darwin Temp.
°C]],Curva_Temp[Temp]))</f>
        <v>5000</v>
      </c>
      <c r="AA102" s="41" cm="1">
        <f t="array" ref="AA102">INDEX(Curva_Temp[Temp],MATCH(TBL_CalcDarwin[[#This Row],[Darwin Temp.
°C]],Curva_Temp[Temp])+1)</f>
        <v>20</v>
      </c>
      <c r="AB102" s="41" cm="1">
        <f t="array" ref="AB102">INDEX(Curva_Temp[Warranted Power Curve for 
1.194Kg/m3 air density '[kW']
SG 5.0-145 (AM 0, 5.0MW) AT 
90M],MATCH(TBL_CalcDarwin[[#This Row],[Darwin Temp.
°C]],Curva_Temp[Temp])+1)</f>
        <v>5000</v>
      </c>
      <c r="AC102" s="45">
        <f>HLOOKUP(TBL_CalcDarwin[[#This Row],[Fecha]],'Plantilla AEG ES'!$E$1:$HX$13,2,FALSE)</f>
        <v>5</v>
      </c>
      <c r="AD102" s="45">
        <f>HLOOKUP(TBL_CalcDarwin[[#This Row],[Fecha]],'Plantilla AEG ES'!$E$1:$HX$13,3,FALSE)</f>
        <v>7</v>
      </c>
      <c r="AE102" s="45">
        <f>HLOOKUP(TBL_CalcDarwin[[#This Row],[Fecha]],'Plantilla AEG ES'!$E$1:$HX$13,4,FALSE)</f>
        <v>11</v>
      </c>
      <c r="AF102" s="45">
        <f>HLOOKUP(TBL_CalcDarwin[[#This Row],[Fecha]],'Plantilla AEG ES'!$E$1:$HX$13,5,FALSE)</f>
        <v>1</v>
      </c>
      <c r="AG102" s="45">
        <f>HLOOKUP(TBL_CalcDarwin[[#This Row],[Fecha]],'Plantilla AEG ES'!$E$1:$HX$13,6,FALSE)</f>
        <v>1</v>
      </c>
      <c r="AH102" s="45">
        <f>HLOOKUP(TBL_CalcDarwin[[#This Row],[Fecha]],'Plantilla AEG ES'!$E$1:$HX$13,7,FALSE)</f>
        <v>0</v>
      </c>
      <c r="AI102" s="46">
        <f>HLOOKUP(TBL_CalcDarwin[[#This Row],[Fecha]],'Plantilla AEG ES'!$E$1:$HX$13,8,FALSE)</f>
        <v>0</v>
      </c>
      <c r="AJ102" s="46">
        <f>HLOOKUP(TBL_CalcDarwin[[#This Row],[Fecha]],'Plantilla AEG ES'!$E$1:$HX$13,9,FALSE)</f>
        <v>3</v>
      </c>
      <c r="AK102" s="46">
        <f>HLOOKUP(TBL_CalcDarwin[[#This Row],[Fecha]],'Plantilla AEG ES'!$E$1:$HX$13,10,FALSE)</f>
        <v>12</v>
      </c>
      <c r="AL102" s="46">
        <f>HLOOKUP(TBL_CalcDarwin[[#This Row],[Fecha]],'Plantilla AEG ES'!$E$1:$HX$13,11,FALSE)</f>
        <v>1</v>
      </c>
      <c r="AM102" s="46">
        <f>HLOOKUP(TBL_CalcDarwin[[#This Row],[Fecha]],'Plantilla AEG ES'!$E$1:$HX$13,12,FALSE)</f>
        <v>7</v>
      </c>
      <c r="AN102" s="46">
        <f>HLOOKUP(TBL_CalcDarwin[[#This Row],[Fecha]],'Plantilla AEG ES'!$E$1:$HX$13,13,FALSE)</f>
        <v>1</v>
      </c>
      <c r="AO102" s="37">
        <f>TBL_CalcDarwin[[#This Row],[Lomitas - Barra A - 5.2 - Cerro]]+TBL_CalcDarwin[[#This Row],[Lomitas - Barra A - 5.2 - Medio]]+TBL_CalcDarwin[[#This Row],[Lomitas - Barra A - 5.2 - Mar]]</f>
        <v>23</v>
      </c>
      <c r="AP1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1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02" s="37">
        <f>TBL_CalcDarwin[[#This Row],[Expansión - Barra A - 5.2 - Cerro]]+TBL_CalcDarwin[[#This Row],[Expansión - Barra A - 5.2 - Medio]]+TBL_CalcDarwin[[#This Row],[Expansión - Barra A - 5.2 - Mar]]</f>
        <v>2</v>
      </c>
      <c r="AT102" s="37">
        <f>TBL_CalcDarwin[[#This Row],[Expansión - Barra B - 5.2 - Cerro]]</f>
        <v>1</v>
      </c>
      <c r="AU1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02" s="29">
        <f>TBL_CalcDarwin[[#This Row],[Expansión - Barra B - 5.2 - Cerro]]*TBL_CalcDarwin[[#This Row],[AEG 5.2 MW Cerro]]</f>
        <v>1.266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5">
        <f t="shared" si="6"/>
        <v>45588.208333333096</v>
      </c>
      <c r="C103" s="17">
        <f t="shared" si="10"/>
        <v>4.2083333333333286</v>
      </c>
      <c r="D103" s="34">
        <f>TBL_CalcDarwin[[#This Row],[Darwin PLOM
MW]]+TBL_CalcDarwin[[#This Row],[Darwin PLOME
MW]]</f>
        <v>118.092</v>
      </c>
      <c r="E103" s="34">
        <f>TBL_CalcDarwin[[#This Row],[PLOM MW TOTAL BARRA A]]+TBL_CalcDarwin[[#This Row],[PLOM MW TOTAL BARRA B]]</f>
        <v>113.58199999999999</v>
      </c>
      <c r="F103" s="34">
        <f>TBL_CalcDarwin[[#This Row],[PLOME MW TOTAL BARRA A]]+TBL_CalcDarwin[[#This Row],[PLOME MW TOTAL BARRA B]]</f>
        <v>4.51</v>
      </c>
      <c r="G103" s="48">
        <f>'Plantilla Datos'!D108</f>
        <v>6.7</v>
      </c>
      <c r="H103" s="48">
        <f>'Plantilla Datos'!E108</f>
        <v>8.4</v>
      </c>
      <c r="I103" s="49">
        <f>'Plantilla Datos'!F108</f>
        <v>17.100000000000001</v>
      </c>
      <c r="J103" s="47">
        <f>CEILING('Plantilla Datos'!$L$3*TBL_CalcDarwin[[#This Row],[Darwin Gusts
m/s]],0.5)</f>
        <v>6.5</v>
      </c>
      <c r="K103" s="47">
        <f>CEILING('Plantilla Datos'!$L$4*TBL_CalcDarwin[[#This Row],[Darwin Gusts
m/s]],0.5)</f>
        <v>7.5</v>
      </c>
      <c r="L103" s="47">
        <f>CEILING(TBL_CalcDarwin[[#This Row],[Darwin Gusts
m/s]],0.5)</f>
        <v>8.5</v>
      </c>
      <c r="M1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03" s="41">
        <f>INDEX(Curva_Temp[Temp],MATCH(TBL_CalcDarwin[[#This Row],[Darwin Temp.
°C]],Curva_Temp[Temp]))</f>
        <v>15</v>
      </c>
      <c r="R103" s="41">
        <f>INDEX(Curva_Temp[Warranted Power Curve for 
1.194Kg/m3 air density '[kW']
SG 5.0-145 (AM+1, 5.2MW) AT 
90M],MATCH(TBL_CalcDarwin[[#This Row],[Darwin Temp.
°C]],Curva_Temp[Temp]))</f>
        <v>5200</v>
      </c>
      <c r="S103" s="41" cm="1">
        <f t="array" ref="S103">INDEX(Curva_Temp[Temp],MATCH(TBL_CalcDarwin[[#This Row],[Darwin Temp.
°C]],Curva_Temp[Temp])+1)</f>
        <v>20</v>
      </c>
      <c r="T103" s="41" cm="1">
        <f t="array" ref="T103">INDEX(Curva_Temp[Warranted Power Curve for 
1.194Kg/m3 air density '[kW']
SG 5.0-145 (AM+1, 5.2MW) AT 
90M],MATCH(TBL_CalcDarwin[[#This Row],[Darwin Temp.
°C]],Curva_Temp[Temp])+1)</f>
        <v>5000</v>
      </c>
      <c r="U1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03" s="41">
        <f>INDEX(Curva_Temp[Temp],MATCH(TBL_CalcDarwin[[#This Row],[Darwin Temp.
°C]],Curva_Temp[Temp]))</f>
        <v>15</v>
      </c>
      <c r="Z103" s="41">
        <f>INDEX(Curva_Temp[Warranted Power Curve for 
1.194Kg/m3 air density '[kW']
SG 5.0-145 (AM 0, 5.0MW) AT 
90M],MATCH(TBL_CalcDarwin[[#This Row],[Darwin Temp.
°C]],Curva_Temp[Temp]))</f>
        <v>5000</v>
      </c>
      <c r="AA103" s="41" cm="1">
        <f t="array" ref="AA103">INDEX(Curva_Temp[Temp],MATCH(TBL_CalcDarwin[[#This Row],[Darwin Temp.
°C]],Curva_Temp[Temp])+1)</f>
        <v>20</v>
      </c>
      <c r="AB103" s="41" cm="1">
        <f t="array" ref="AB103">INDEX(Curva_Temp[Warranted Power Curve for 
1.194Kg/m3 air density '[kW']
SG 5.0-145 (AM 0, 5.0MW) AT 
90M],MATCH(TBL_CalcDarwin[[#This Row],[Darwin Temp.
°C]],Curva_Temp[Temp])+1)</f>
        <v>5000</v>
      </c>
      <c r="AC103" s="45">
        <f>HLOOKUP(TBL_CalcDarwin[[#This Row],[Fecha]],'Plantilla AEG ES'!$E$1:$HX$13,2,FALSE)</f>
        <v>5</v>
      </c>
      <c r="AD103" s="45">
        <f>HLOOKUP(TBL_CalcDarwin[[#This Row],[Fecha]],'Plantilla AEG ES'!$E$1:$HX$13,3,FALSE)</f>
        <v>7</v>
      </c>
      <c r="AE103" s="45">
        <f>HLOOKUP(TBL_CalcDarwin[[#This Row],[Fecha]],'Plantilla AEG ES'!$E$1:$HX$13,4,FALSE)</f>
        <v>11</v>
      </c>
      <c r="AF103" s="45">
        <f>HLOOKUP(TBL_CalcDarwin[[#This Row],[Fecha]],'Plantilla AEG ES'!$E$1:$HX$13,5,FALSE)</f>
        <v>1</v>
      </c>
      <c r="AG103" s="45">
        <f>HLOOKUP(TBL_CalcDarwin[[#This Row],[Fecha]],'Plantilla AEG ES'!$E$1:$HX$13,6,FALSE)</f>
        <v>1</v>
      </c>
      <c r="AH103" s="45">
        <f>HLOOKUP(TBL_CalcDarwin[[#This Row],[Fecha]],'Plantilla AEG ES'!$E$1:$HX$13,7,FALSE)</f>
        <v>0</v>
      </c>
      <c r="AI103" s="46">
        <f>HLOOKUP(TBL_CalcDarwin[[#This Row],[Fecha]],'Plantilla AEG ES'!$E$1:$HX$13,8,FALSE)</f>
        <v>0</v>
      </c>
      <c r="AJ103" s="46">
        <f>HLOOKUP(TBL_CalcDarwin[[#This Row],[Fecha]],'Plantilla AEG ES'!$E$1:$HX$13,9,FALSE)</f>
        <v>3</v>
      </c>
      <c r="AK103" s="46">
        <f>HLOOKUP(TBL_CalcDarwin[[#This Row],[Fecha]],'Plantilla AEG ES'!$E$1:$HX$13,10,FALSE)</f>
        <v>12</v>
      </c>
      <c r="AL103" s="46">
        <f>HLOOKUP(TBL_CalcDarwin[[#This Row],[Fecha]],'Plantilla AEG ES'!$E$1:$HX$13,11,FALSE)</f>
        <v>1</v>
      </c>
      <c r="AM103" s="46">
        <f>HLOOKUP(TBL_CalcDarwin[[#This Row],[Fecha]],'Plantilla AEG ES'!$E$1:$HX$13,12,FALSE)</f>
        <v>7</v>
      </c>
      <c r="AN103" s="46">
        <f>HLOOKUP(TBL_CalcDarwin[[#This Row],[Fecha]],'Plantilla AEG ES'!$E$1:$HX$13,13,FALSE)</f>
        <v>1</v>
      </c>
      <c r="AO103" s="37">
        <f>TBL_CalcDarwin[[#This Row],[Lomitas - Barra A - 5.2 - Cerro]]+TBL_CalcDarwin[[#This Row],[Lomitas - Barra A - 5.2 - Medio]]+TBL_CalcDarwin[[#This Row],[Lomitas - Barra A - 5.2 - Mar]]</f>
        <v>23</v>
      </c>
      <c r="AP1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1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03" s="37">
        <f>TBL_CalcDarwin[[#This Row],[Expansión - Barra A - 5.2 - Cerro]]+TBL_CalcDarwin[[#This Row],[Expansión - Barra A - 5.2 - Medio]]+TBL_CalcDarwin[[#This Row],[Expansión - Barra A - 5.2 - Mar]]</f>
        <v>2</v>
      </c>
      <c r="AT103" s="37">
        <f>TBL_CalcDarwin[[#This Row],[Expansión - Barra B - 5.2 - Cerro]]</f>
        <v>1</v>
      </c>
      <c r="AU1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03" s="29">
        <f>TBL_CalcDarwin[[#This Row],[Expansión - Barra B - 5.2 - Cerro]]*TBL_CalcDarwin[[#This Row],[AEG 5.2 MW Cerro]]</f>
        <v>1.266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5">
        <f t="shared" si="6"/>
        <v>45588.24999999976</v>
      </c>
      <c r="C104" s="17">
        <f t="shared" si="10"/>
        <v>4.2499999999999956</v>
      </c>
      <c r="D104" s="34">
        <f>TBL_CalcDarwin[[#This Row],[Darwin PLOM
MW]]+TBL_CalcDarwin[[#This Row],[Darwin PLOME
MW]]</f>
        <v>97.623000000000005</v>
      </c>
      <c r="E104" s="34">
        <f>TBL_CalcDarwin[[#This Row],[PLOM MW TOTAL BARRA A]]+TBL_CalcDarwin[[#This Row],[PLOM MW TOTAL BARRA B]]</f>
        <v>94.06</v>
      </c>
      <c r="F104" s="34">
        <f>TBL_CalcDarwin[[#This Row],[PLOME MW TOTAL BARRA A]]+TBL_CalcDarwin[[#This Row],[PLOME MW TOTAL BARRA B]]</f>
        <v>3.5630000000000002</v>
      </c>
      <c r="G104" s="48">
        <f>'Plantilla Datos'!D109</f>
        <v>6.2</v>
      </c>
      <c r="H104" s="48">
        <f>'Plantilla Datos'!E109</f>
        <v>7.9</v>
      </c>
      <c r="I104" s="49">
        <f>'Plantilla Datos'!F109</f>
        <v>17.600000000000001</v>
      </c>
      <c r="J104" s="47">
        <f>CEILING('Plantilla Datos'!$L$3*TBL_CalcDarwin[[#This Row],[Darwin Gusts
m/s]],0.5)</f>
        <v>6</v>
      </c>
      <c r="K104" s="47">
        <f>CEILING('Plantilla Datos'!$L$4*TBL_CalcDarwin[[#This Row],[Darwin Gusts
m/s]],0.5)</f>
        <v>7</v>
      </c>
      <c r="L104" s="47">
        <f>CEILING(TBL_CalcDarwin[[#This Row],[Darwin Gusts
m/s]],0.5)</f>
        <v>8</v>
      </c>
      <c r="M1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04" s="41">
        <f>INDEX(Curva_Temp[Temp],MATCH(TBL_CalcDarwin[[#This Row],[Darwin Temp.
°C]],Curva_Temp[Temp]))</f>
        <v>15</v>
      </c>
      <c r="R104" s="41">
        <f>INDEX(Curva_Temp[Warranted Power Curve for 
1.194Kg/m3 air density '[kW']
SG 5.0-145 (AM+1, 5.2MW) AT 
90M],MATCH(TBL_CalcDarwin[[#This Row],[Darwin Temp.
°C]],Curva_Temp[Temp]))</f>
        <v>5200</v>
      </c>
      <c r="S104" s="41" cm="1">
        <f t="array" ref="S104">INDEX(Curva_Temp[Temp],MATCH(TBL_CalcDarwin[[#This Row],[Darwin Temp.
°C]],Curva_Temp[Temp])+1)</f>
        <v>20</v>
      </c>
      <c r="T104" s="41" cm="1">
        <f t="array" ref="T104">INDEX(Curva_Temp[Warranted Power Curve for 
1.194Kg/m3 air density '[kW']
SG 5.0-145 (AM+1, 5.2MW) AT 
90M],MATCH(TBL_CalcDarwin[[#This Row],[Darwin Temp.
°C]],Curva_Temp[Temp])+1)</f>
        <v>5000</v>
      </c>
      <c r="U1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04" s="41">
        <f>INDEX(Curva_Temp[Temp],MATCH(TBL_CalcDarwin[[#This Row],[Darwin Temp.
°C]],Curva_Temp[Temp]))</f>
        <v>15</v>
      </c>
      <c r="Z104" s="41">
        <f>INDEX(Curva_Temp[Warranted Power Curve for 
1.194Kg/m3 air density '[kW']
SG 5.0-145 (AM 0, 5.0MW) AT 
90M],MATCH(TBL_CalcDarwin[[#This Row],[Darwin Temp.
°C]],Curva_Temp[Temp]))</f>
        <v>5000</v>
      </c>
      <c r="AA104" s="41" cm="1">
        <f t="array" ref="AA104">INDEX(Curva_Temp[Temp],MATCH(TBL_CalcDarwin[[#This Row],[Darwin Temp.
°C]],Curva_Temp[Temp])+1)</f>
        <v>20</v>
      </c>
      <c r="AB104" s="41" cm="1">
        <f t="array" ref="AB104">INDEX(Curva_Temp[Warranted Power Curve for 
1.194Kg/m3 air density '[kW']
SG 5.0-145 (AM 0, 5.0MW) AT 
90M],MATCH(TBL_CalcDarwin[[#This Row],[Darwin Temp.
°C]],Curva_Temp[Temp])+1)</f>
        <v>5000</v>
      </c>
      <c r="AC104" s="45">
        <f>HLOOKUP(TBL_CalcDarwin[[#This Row],[Fecha]],'Plantilla AEG ES'!$E$1:$HX$13,2,FALSE)</f>
        <v>5</v>
      </c>
      <c r="AD104" s="45">
        <f>HLOOKUP(TBL_CalcDarwin[[#This Row],[Fecha]],'Plantilla AEG ES'!$E$1:$HX$13,3,FALSE)</f>
        <v>7</v>
      </c>
      <c r="AE104" s="45">
        <f>HLOOKUP(TBL_CalcDarwin[[#This Row],[Fecha]],'Plantilla AEG ES'!$E$1:$HX$13,4,FALSE)</f>
        <v>11</v>
      </c>
      <c r="AF104" s="45">
        <f>HLOOKUP(TBL_CalcDarwin[[#This Row],[Fecha]],'Plantilla AEG ES'!$E$1:$HX$13,5,FALSE)</f>
        <v>1</v>
      </c>
      <c r="AG104" s="45">
        <f>HLOOKUP(TBL_CalcDarwin[[#This Row],[Fecha]],'Plantilla AEG ES'!$E$1:$HX$13,6,FALSE)</f>
        <v>1</v>
      </c>
      <c r="AH104" s="45">
        <f>HLOOKUP(TBL_CalcDarwin[[#This Row],[Fecha]],'Plantilla AEG ES'!$E$1:$HX$13,7,FALSE)</f>
        <v>0</v>
      </c>
      <c r="AI104" s="46">
        <f>HLOOKUP(TBL_CalcDarwin[[#This Row],[Fecha]],'Plantilla AEG ES'!$E$1:$HX$13,8,FALSE)</f>
        <v>0</v>
      </c>
      <c r="AJ104" s="46">
        <f>HLOOKUP(TBL_CalcDarwin[[#This Row],[Fecha]],'Plantilla AEG ES'!$E$1:$HX$13,9,FALSE)</f>
        <v>3</v>
      </c>
      <c r="AK104" s="46">
        <f>HLOOKUP(TBL_CalcDarwin[[#This Row],[Fecha]],'Plantilla AEG ES'!$E$1:$HX$13,10,FALSE)</f>
        <v>12</v>
      </c>
      <c r="AL104" s="46">
        <f>HLOOKUP(TBL_CalcDarwin[[#This Row],[Fecha]],'Plantilla AEG ES'!$E$1:$HX$13,11,FALSE)</f>
        <v>1</v>
      </c>
      <c r="AM104" s="46">
        <f>HLOOKUP(TBL_CalcDarwin[[#This Row],[Fecha]],'Plantilla AEG ES'!$E$1:$HX$13,12,FALSE)</f>
        <v>7</v>
      </c>
      <c r="AN104" s="46">
        <f>HLOOKUP(TBL_CalcDarwin[[#This Row],[Fecha]],'Plantilla AEG ES'!$E$1:$HX$13,13,FALSE)</f>
        <v>1</v>
      </c>
      <c r="AO104" s="37">
        <f>TBL_CalcDarwin[[#This Row],[Lomitas - Barra A - 5.2 - Cerro]]+TBL_CalcDarwin[[#This Row],[Lomitas - Barra A - 5.2 - Medio]]+TBL_CalcDarwin[[#This Row],[Lomitas - Barra A - 5.2 - Mar]]</f>
        <v>23</v>
      </c>
      <c r="AP1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04" s="37">
        <f>TBL_CalcDarwin[[#This Row],[Expansión - Barra A - 5.2 - Cerro]]+TBL_CalcDarwin[[#This Row],[Expansión - Barra A - 5.2 - Medio]]+TBL_CalcDarwin[[#This Row],[Expansión - Barra A - 5.2 - Mar]]</f>
        <v>2</v>
      </c>
      <c r="AT104" s="37">
        <f>TBL_CalcDarwin[[#This Row],[Expansión - Barra B - 5.2 - Cerro]]</f>
        <v>1</v>
      </c>
      <c r="AU1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04" s="29">
        <f>TBL_CalcDarwin[[#This Row],[Expansión - Barra B - 5.2 - Cerro]]*TBL_CalcDarwin[[#This Row],[AEG 5.2 MW Cerro]]</f>
        <v>0.98299999999999998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5">
        <f t="shared" si="6"/>
        <v>45588.291666666424</v>
      </c>
      <c r="C105" s="17">
        <f t="shared" si="10"/>
        <v>4.2916666666666625</v>
      </c>
      <c r="D105" s="34">
        <f>TBL_CalcDarwin[[#This Row],[Darwin PLOM
MW]]+TBL_CalcDarwin[[#This Row],[Darwin PLOME
MW]]</f>
        <v>79.186999999999998</v>
      </c>
      <c r="E105" s="34">
        <f>TBL_CalcDarwin[[#This Row],[PLOM MW TOTAL BARRA A]]+TBL_CalcDarwin[[#This Row],[PLOM MW TOTAL BARRA B]]</f>
        <v>76.430999999999997</v>
      </c>
      <c r="F105" s="34">
        <f>TBL_CalcDarwin[[#This Row],[PLOME MW TOTAL BARRA A]]+TBL_CalcDarwin[[#This Row],[PLOME MW TOTAL BARRA B]]</f>
        <v>2.7560000000000002</v>
      </c>
      <c r="G105" s="48">
        <f>'Plantilla Datos'!D110</f>
        <v>5.8</v>
      </c>
      <c r="H105" s="48">
        <f>'Plantilla Datos'!E110</f>
        <v>7.4</v>
      </c>
      <c r="I105" s="49">
        <f>'Plantilla Datos'!F110</f>
        <v>17.899999999999999</v>
      </c>
      <c r="J105" s="47">
        <f>CEILING('Plantilla Datos'!$L$3*TBL_CalcDarwin[[#This Row],[Darwin Gusts
m/s]],0.5)</f>
        <v>5.5</v>
      </c>
      <c r="K105" s="47">
        <f>CEILING('Plantilla Datos'!$L$4*TBL_CalcDarwin[[#This Row],[Darwin Gusts
m/s]],0.5)</f>
        <v>6.5</v>
      </c>
      <c r="L105" s="47">
        <f>CEILING(TBL_CalcDarwin[[#This Row],[Darwin Gusts
m/s]],0.5)</f>
        <v>7.5</v>
      </c>
      <c r="M1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1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05" s="41">
        <f>INDEX(Curva_Temp[Temp],MATCH(TBL_CalcDarwin[[#This Row],[Darwin Temp.
°C]],Curva_Temp[Temp]))</f>
        <v>15</v>
      </c>
      <c r="R105" s="41">
        <f>INDEX(Curva_Temp[Warranted Power Curve for 
1.194Kg/m3 air density '[kW']
SG 5.0-145 (AM+1, 5.2MW) AT 
90M],MATCH(TBL_CalcDarwin[[#This Row],[Darwin Temp.
°C]],Curva_Temp[Temp]))</f>
        <v>5200</v>
      </c>
      <c r="S105" s="41" cm="1">
        <f t="array" ref="S105">INDEX(Curva_Temp[Temp],MATCH(TBL_CalcDarwin[[#This Row],[Darwin Temp.
°C]],Curva_Temp[Temp])+1)</f>
        <v>20</v>
      </c>
      <c r="T105" s="41" cm="1">
        <f t="array" ref="T105">INDEX(Curva_Temp[Warranted Power Curve for 
1.194Kg/m3 air density '[kW']
SG 5.0-145 (AM+1, 5.2MW) AT 
90M],MATCH(TBL_CalcDarwin[[#This Row],[Darwin Temp.
°C]],Curva_Temp[Temp])+1)</f>
        <v>5000</v>
      </c>
      <c r="U1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05" s="41">
        <f>INDEX(Curva_Temp[Temp],MATCH(TBL_CalcDarwin[[#This Row],[Darwin Temp.
°C]],Curva_Temp[Temp]))</f>
        <v>15</v>
      </c>
      <c r="Z105" s="41">
        <f>INDEX(Curva_Temp[Warranted Power Curve for 
1.194Kg/m3 air density '[kW']
SG 5.0-145 (AM 0, 5.0MW) AT 
90M],MATCH(TBL_CalcDarwin[[#This Row],[Darwin Temp.
°C]],Curva_Temp[Temp]))</f>
        <v>5000</v>
      </c>
      <c r="AA105" s="41" cm="1">
        <f t="array" ref="AA105">INDEX(Curva_Temp[Temp],MATCH(TBL_CalcDarwin[[#This Row],[Darwin Temp.
°C]],Curva_Temp[Temp])+1)</f>
        <v>20</v>
      </c>
      <c r="AB105" s="41" cm="1">
        <f t="array" ref="AB105">INDEX(Curva_Temp[Warranted Power Curve for 
1.194Kg/m3 air density '[kW']
SG 5.0-145 (AM 0, 5.0MW) AT 
90M],MATCH(TBL_CalcDarwin[[#This Row],[Darwin Temp.
°C]],Curva_Temp[Temp])+1)</f>
        <v>5000</v>
      </c>
      <c r="AC105" s="45">
        <f>HLOOKUP(TBL_CalcDarwin[[#This Row],[Fecha]],'Plantilla AEG ES'!$E$1:$HX$13,2,FALSE)</f>
        <v>5</v>
      </c>
      <c r="AD105" s="45">
        <f>HLOOKUP(TBL_CalcDarwin[[#This Row],[Fecha]],'Plantilla AEG ES'!$E$1:$HX$13,3,FALSE)</f>
        <v>7</v>
      </c>
      <c r="AE105" s="45">
        <f>HLOOKUP(TBL_CalcDarwin[[#This Row],[Fecha]],'Plantilla AEG ES'!$E$1:$HX$13,4,FALSE)</f>
        <v>11</v>
      </c>
      <c r="AF105" s="45">
        <f>HLOOKUP(TBL_CalcDarwin[[#This Row],[Fecha]],'Plantilla AEG ES'!$E$1:$HX$13,5,FALSE)</f>
        <v>1</v>
      </c>
      <c r="AG105" s="45">
        <f>HLOOKUP(TBL_CalcDarwin[[#This Row],[Fecha]],'Plantilla AEG ES'!$E$1:$HX$13,6,FALSE)</f>
        <v>1</v>
      </c>
      <c r="AH105" s="45">
        <f>HLOOKUP(TBL_CalcDarwin[[#This Row],[Fecha]],'Plantilla AEG ES'!$E$1:$HX$13,7,FALSE)</f>
        <v>0</v>
      </c>
      <c r="AI105" s="46">
        <f>HLOOKUP(TBL_CalcDarwin[[#This Row],[Fecha]],'Plantilla AEG ES'!$E$1:$HX$13,8,FALSE)</f>
        <v>0</v>
      </c>
      <c r="AJ105" s="46">
        <f>HLOOKUP(TBL_CalcDarwin[[#This Row],[Fecha]],'Plantilla AEG ES'!$E$1:$HX$13,9,FALSE)</f>
        <v>3</v>
      </c>
      <c r="AK105" s="46">
        <f>HLOOKUP(TBL_CalcDarwin[[#This Row],[Fecha]],'Plantilla AEG ES'!$E$1:$HX$13,10,FALSE)</f>
        <v>12</v>
      </c>
      <c r="AL105" s="46">
        <f>HLOOKUP(TBL_CalcDarwin[[#This Row],[Fecha]],'Plantilla AEG ES'!$E$1:$HX$13,11,FALSE)</f>
        <v>1</v>
      </c>
      <c r="AM105" s="46">
        <f>HLOOKUP(TBL_CalcDarwin[[#This Row],[Fecha]],'Plantilla AEG ES'!$E$1:$HX$13,12,FALSE)</f>
        <v>7</v>
      </c>
      <c r="AN105" s="46">
        <f>HLOOKUP(TBL_CalcDarwin[[#This Row],[Fecha]],'Plantilla AEG ES'!$E$1:$HX$13,13,FALSE)</f>
        <v>1</v>
      </c>
      <c r="AO105" s="37">
        <f>TBL_CalcDarwin[[#This Row],[Lomitas - Barra A - 5.2 - Cerro]]+TBL_CalcDarwin[[#This Row],[Lomitas - Barra A - 5.2 - Medio]]+TBL_CalcDarwin[[#This Row],[Lomitas - Barra A - 5.2 - Mar]]</f>
        <v>23</v>
      </c>
      <c r="AP1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05" s="37">
        <f>TBL_CalcDarwin[[#This Row],[Expansión - Barra A - 5.2 - Cerro]]+TBL_CalcDarwin[[#This Row],[Expansión - Barra A - 5.2 - Medio]]+TBL_CalcDarwin[[#This Row],[Expansión - Barra A - 5.2 - Mar]]</f>
        <v>2</v>
      </c>
      <c r="AT105" s="37">
        <f>TBL_CalcDarwin[[#This Row],[Expansión - Barra B - 5.2 - Cerro]]</f>
        <v>1</v>
      </c>
      <c r="AU1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05" s="29">
        <f>TBL_CalcDarwin[[#This Row],[Expansión - Barra B - 5.2 - Cerro]]*TBL_CalcDarwin[[#This Row],[AEG 5.2 MW Cerro]]</f>
        <v>0.745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5">
        <f t="shared" si="6"/>
        <v>45588.333333333088</v>
      </c>
      <c r="C106" s="17">
        <f t="shared" si="10"/>
        <v>4.3333333333333295</v>
      </c>
      <c r="D106" s="34">
        <f>TBL_CalcDarwin[[#This Row],[Darwin PLOM
MW]]+TBL_CalcDarwin[[#This Row],[Darwin PLOME
MW]]</f>
        <v>118.092</v>
      </c>
      <c r="E106" s="34">
        <f>TBL_CalcDarwin[[#This Row],[PLOM MW TOTAL BARRA A]]+TBL_CalcDarwin[[#This Row],[PLOM MW TOTAL BARRA B]]</f>
        <v>113.58199999999999</v>
      </c>
      <c r="F106" s="34">
        <f>TBL_CalcDarwin[[#This Row],[PLOME MW TOTAL BARRA A]]+TBL_CalcDarwin[[#This Row],[PLOME MW TOTAL BARRA B]]</f>
        <v>4.51</v>
      </c>
      <c r="G106" s="48">
        <f>'Plantilla Datos'!D111</f>
        <v>6.6</v>
      </c>
      <c r="H106" s="48">
        <f>'Plantilla Datos'!E111</f>
        <v>8.4</v>
      </c>
      <c r="I106" s="49">
        <f>'Plantilla Datos'!F111</f>
        <v>18.5</v>
      </c>
      <c r="J106" s="47">
        <f>CEILING('Plantilla Datos'!$L$3*TBL_CalcDarwin[[#This Row],[Darwin Gusts
m/s]],0.5)</f>
        <v>6.5</v>
      </c>
      <c r="K106" s="47">
        <f>CEILING('Plantilla Datos'!$L$4*TBL_CalcDarwin[[#This Row],[Darwin Gusts
m/s]],0.5)</f>
        <v>7.5</v>
      </c>
      <c r="L106" s="47">
        <f>CEILING(TBL_CalcDarwin[[#This Row],[Darwin Gusts
m/s]],0.5)</f>
        <v>8.5</v>
      </c>
      <c r="M1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1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06" s="41">
        <f>INDEX(Curva_Temp[Temp],MATCH(TBL_CalcDarwin[[#This Row],[Darwin Temp.
°C]],Curva_Temp[Temp]))</f>
        <v>15</v>
      </c>
      <c r="R106" s="41">
        <f>INDEX(Curva_Temp[Warranted Power Curve for 
1.194Kg/m3 air density '[kW']
SG 5.0-145 (AM+1, 5.2MW) AT 
90M],MATCH(TBL_CalcDarwin[[#This Row],[Darwin Temp.
°C]],Curva_Temp[Temp]))</f>
        <v>5200</v>
      </c>
      <c r="S106" s="41" cm="1">
        <f t="array" ref="S106">INDEX(Curva_Temp[Temp],MATCH(TBL_CalcDarwin[[#This Row],[Darwin Temp.
°C]],Curva_Temp[Temp])+1)</f>
        <v>20</v>
      </c>
      <c r="T106" s="41" cm="1">
        <f t="array" ref="T106">INDEX(Curva_Temp[Warranted Power Curve for 
1.194Kg/m3 air density '[kW']
SG 5.0-145 (AM+1, 5.2MW) AT 
90M],MATCH(TBL_CalcDarwin[[#This Row],[Darwin Temp.
°C]],Curva_Temp[Temp])+1)</f>
        <v>5000</v>
      </c>
      <c r="U1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06" s="41">
        <f>INDEX(Curva_Temp[Temp],MATCH(TBL_CalcDarwin[[#This Row],[Darwin Temp.
°C]],Curva_Temp[Temp]))</f>
        <v>15</v>
      </c>
      <c r="Z106" s="41">
        <f>INDEX(Curva_Temp[Warranted Power Curve for 
1.194Kg/m3 air density '[kW']
SG 5.0-145 (AM 0, 5.0MW) AT 
90M],MATCH(TBL_CalcDarwin[[#This Row],[Darwin Temp.
°C]],Curva_Temp[Temp]))</f>
        <v>5000</v>
      </c>
      <c r="AA106" s="41" cm="1">
        <f t="array" ref="AA106">INDEX(Curva_Temp[Temp],MATCH(TBL_CalcDarwin[[#This Row],[Darwin Temp.
°C]],Curva_Temp[Temp])+1)</f>
        <v>20</v>
      </c>
      <c r="AB106" s="41" cm="1">
        <f t="array" ref="AB106">INDEX(Curva_Temp[Warranted Power Curve for 
1.194Kg/m3 air density '[kW']
SG 5.0-145 (AM 0, 5.0MW) AT 
90M],MATCH(TBL_CalcDarwin[[#This Row],[Darwin Temp.
°C]],Curva_Temp[Temp])+1)</f>
        <v>5000</v>
      </c>
      <c r="AC106" s="45">
        <f>HLOOKUP(TBL_CalcDarwin[[#This Row],[Fecha]],'Plantilla AEG ES'!$E$1:$HX$13,2,FALSE)</f>
        <v>5</v>
      </c>
      <c r="AD106" s="45">
        <f>HLOOKUP(TBL_CalcDarwin[[#This Row],[Fecha]],'Plantilla AEG ES'!$E$1:$HX$13,3,FALSE)</f>
        <v>7</v>
      </c>
      <c r="AE106" s="45">
        <f>HLOOKUP(TBL_CalcDarwin[[#This Row],[Fecha]],'Plantilla AEG ES'!$E$1:$HX$13,4,FALSE)</f>
        <v>11</v>
      </c>
      <c r="AF106" s="45">
        <f>HLOOKUP(TBL_CalcDarwin[[#This Row],[Fecha]],'Plantilla AEG ES'!$E$1:$HX$13,5,FALSE)</f>
        <v>1</v>
      </c>
      <c r="AG106" s="45">
        <f>HLOOKUP(TBL_CalcDarwin[[#This Row],[Fecha]],'Plantilla AEG ES'!$E$1:$HX$13,6,FALSE)</f>
        <v>1</v>
      </c>
      <c r="AH106" s="45">
        <f>HLOOKUP(TBL_CalcDarwin[[#This Row],[Fecha]],'Plantilla AEG ES'!$E$1:$HX$13,7,FALSE)</f>
        <v>0</v>
      </c>
      <c r="AI106" s="46">
        <f>HLOOKUP(TBL_CalcDarwin[[#This Row],[Fecha]],'Plantilla AEG ES'!$E$1:$HX$13,8,FALSE)</f>
        <v>0</v>
      </c>
      <c r="AJ106" s="46">
        <f>HLOOKUP(TBL_CalcDarwin[[#This Row],[Fecha]],'Plantilla AEG ES'!$E$1:$HX$13,9,FALSE)</f>
        <v>3</v>
      </c>
      <c r="AK106" s="46">
        <f>HLOOKUP(TBL_CalcDarwin[[#This Row],[Fecha]],'Plantilla AEG ES'!$E$1:$HX$13,10,FALSE)</f>
        <v>12</v>
      </c>
      <c r="AL106" s="46">
        <f>HLOOKUP(TBL_CalcDarwin[[#This Row],[Fecha]],'Plantilla AEG ES'!$E$1:$HX$13,11,FALSE)</f>
        <v>1</v>
      </c>
      <c r="AM106" s="46">
        <f>HLOOKUP(TBL_CalcDarwin[[#This Row],[Fecha]],'Plantilla AEG ES'!$E$1:$HX$13,12,FALSE)</f>
        <v>7</v>
      </c>
      <c r="AN106" s="46">
        <f>HLOOKUP(TBL_CalcDarwin[[#This Row],[Fecha]],'Plantilla AEG ES'!$E$1:$HX$13,13,FALSE)</f>
        <v>1</v>
      </c>
      <c r="AO106" s="37">
        <f>TBL_CalcDarwin[[#This Row],[Lomitas - Barra A - 5.2 - Cerro]]+TBL_CalcDarwin[[#This Row],[Lomitas - Barra A - 5.2 - Medio]]+TBL_CalcDarwin[[#This Row],[Lomitas - Barra A - 5.2 - Mar]]</f>
        <v>23</v>
      </c>
      <c r="AP1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1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06" s="37">
        <f>TBL_CalcDarwin[[#This Row],[Expansión - Barra A - 5.2 - Cerro]]+TBL_CalcDarwin[[#This Row],[Expansión - Barra A - 5.2 - Medio]]+TBL_CalcDarwin[[#This Row],[Expansión - Barra A - 5.2 - Mar]]</f>
        <v>2</v>
      </c>
      <c r="AT106" s="37">
        <f>TBL_CalcDarwin[[#This Row],[Expansión - Barra B - 5.2 - Cerro]]</f>
        <v>1</v>
      </c>
      <c r="AU1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06" s="29">
        <f>TBL_CalcDarwin[[#This Row],[Expansión - Barra B - 5.2 - Cerro]]*TBL_CalcDarwin[[#This Row],[AEG 5.2 MW Cerro]]</f>
        <v>1.266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5">
        <f t="shared" si="6"/>
        <v>45588.374999999753</v>
      </c>
      <c r="C107" s="17">
        <f t="shared" si="10"/>
        <v>4.3749999999999964</v>
      </c>
      <c r="D107" s="34">
        <f>TBL_CalcDarwin[[#This Row],[Darwin PLOM
MW]]+TBL_CalcDarwin[[#This Row],[Darwin PLOME
MW]]</f>
        <v>159.38400000000001</v>
      </c>
      <c r="E107" s="34">
        <f>TBL_CalcDarwin[[#This Row],[PLOM MW TOTAL BARRA A]]+TBL_CalcDarwin[[#This Row],[PLOM MW TOTAL BARRA B]]</f>
        <v>153.31200000000001</v>
      </c>
      <c r="F107" s="34">
        <f>TBL_CalcDarwin[[#This Row],[PLOME MW TOTAL BARRA A]]+TBL_CalcDarwin[[#This Row],[PLOME MW TOTAL BARRA B]]</f>
        <v>6.0719999999999992</v>
      </c>
      <c r="G107" s="48">
        <f>'Plantilla Datos'!D112</f>
        <v>7.4</v>
      </c>
      <c r="H107" s="48">
        <f>'Plantilla Datos'!E112</f>
        <v>9.4</v>
      </c>
      <c r="I107" s="49">
        <f>'Plantilla Datos'!F112</f>
        <v>19.2</v>
      </c>
      <c r="J107" s="47">
        <f>CEILING('Plantilla Datos'!$L$3*TBL_CalcDarwin[[#This Row],[Darwin Gusts
m/s]],0.5)</f>
        <v>7</v>
      </c>
      <c r="K107" s="47">
        <f>CEILING('Plantilla Datos'!$L$4*TBL_CalcDarwin[[#This Row],[Darwin Gusts
m/s]],0.5)</f>
        <v>8.5</v>
      </c>
      <c r="L107" s="47">
        <f>CEILING(TBL_CalcDarwin[[#This Row],[Darwin Gusts
m/s]],0.5)</f>
        <v>9.5</v>
      </c>
      <c r="M1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1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07" s="41">
        <f>INDEX(Curva_Temp[Temp],MATCH(TBL_CalcDarwin[[#This Row],[Darwin Temp.
°C]],Curva_Temp[Temp]))</f>
        <v>15</v>
      </c>
      <c r="R107" s="41">
        <f>INDEX(Curva_Temp[Warranted Power Curve for 
1.194Kg/m3 air density '[kW']
SG 5.0-145 (AM+1, 5.2MW) AT 
90M],MATCH(TBL_CalcDarwin[[#This Row],[Darwin Temp.
°C]],Curva_Temp[Temp]))</f>
        <v>5200</v>
      </c>
      <c r="S107" s="41" cm="1">
        <f t="array" ref="S107">INDEX(Curva_Temp[Temp],MATCH(TBL_CalcDarwin[[#This Row],[Darwin Temp.
°C]],Curva_Temp[Temp])+1)</f>
        <v>20</v>
      </c>
      <c r="T107" s="41" cm="1">
        <f t="array" ref="T107">INDEX(Curva_Temp[Warranted Power Curve for 
1.194Kg/m3 air density '[kW']
SG 5.0-145 (AM+1, 5.2MW) AT 
90M],MATCH(TBL_CalcDarwin[[#This Row],[Darwin Temp.
°C]],Curva_Temp[Temp])+1)</f>
        <v>5000</v>
      </c>
      <c r="U1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07" s="41">
        <f>INDEX(Curva_Temp[Temp],MATCH(TBL_CalcDarwin[[#This Row],[Darwin Temp.
°C]],Curva_Temp[Temp]))</f>
        <v>15</v>
      </c>
      <c r="Z107" s="41">
        <f>INDEX(Curva_Temp[Warranted Power Curve for 
1.194Kg/m3 air density '[kW']
SG 5.0-145 (AM 0, 5.0MW) AT 
90M],MATCH(TBL_CalcDarwin[[#This Row],[Darwin Temp.
°C]],Curva_Temp[Temp]))</f>
        <v>5000</v>
      </c>
      <c r="AA107" s="41" cm="1">
        <f t="array" ref="AA107">INDEX(Curva_Temp[Temp],MATCH(TBL_CalcDarwin[[#This Row],[Darwin Temp.
°C]],Curva_Temp[Temp])+1)</f>
        <v>20</v>
      </c>
      <c r="AB107" s="41" cm="1">
        <f t="array" ref="AB107">INDEX(Curva_Temp[Warranted Power Curve for 
1.194Kg/m3 air density '[kW']
SG 5.0-145 (AM 0, 5.0MW) AT 
90M],MATCH(TBL_CalcDarwin[[#This Row],[Darwin Temp.
°C]],Curva_Temp[Temp])+1)</f>
        <v>5000</v>
      </c>
      <c r="AC107" s="45">
        <f>HLOOKUP(TBL_CalcDarwin[[#This Row],[Fecha]],'Plantilla AEG ES'!$E$1:$HX$13,2,FALSE)</f>
        <v>5</v>
      </c>
      <c r="AD107" s="45">
        <f>HLOOKUP(TBL_CalcDarwin[[#This Row],[Fecha]],'Plantilla AEG ES'!$E$1:$HX$13,3,FALSE)</f>
        <v>7</v>
      </c>
      <c r="AE107" s="45">
        <f>HLOOKUP(TBL_CalcDarwin[[#This Row],[Fecha]],'Plantilla AEG ES'!$E$1:$HX$13,4,FALSE)</f>
        <v>11</v>
      </c>
      <c r="AF107" s="45">
        <f>HLOOKUP(TBL_CalcDarwin[[#This Row],[Fecha]],'Plantilla AEG ES'!$E$1:$HX$13,5,FALSE)</f>
        <v>1</v>
      </c>
      <c r="AG107" s="45">
        <f>HLOOKUP(TBL_CalcDarwin[[#This Row],[Fecha]],'Plantilla AEG ES'!$E$1:$HX$13,6,FALSE)</f>
        <v>1</v>
      </c>
      <c r="AH107" s="45">
        <f>HLOOKUP(TBL_CalcDarwin[[#This Row],[Fecha]],'Plantilla AEG ES'!$E$1:$HX$13,7,FALSE)</f>
        <v>0</v>
      </c>
      <c r="AI107" s="46">
        <f>HLOOKUP(TBL_CalcDarwin[[#This Row],[Fecha]],'Plantilla AEG ES'!$E$1:$HX$13,8,FALSE)</f>
        <v>0</v>
      </c>
      <c r="AJ107" s="46">
        <f>HLOOKUP(TBL_CalcDarwin[[#This Row],[Fecha]],'Plantilla AEG ES'!$E$1:$HX$13,9,FALSE)</f>
        <v>3</v>
      </c>
      <c r="AK107" s="46">
        <f>HLOOKUP(TBL_CalcDarwin[[#This Row],[Fecha]],'Plantilla AEG ES'!$E$1:$HX$13,10,FALSE)</f>
        <v>12</v>
      </c>
      <c r="AL107" s="46">
        <f>HLOOKUP(TBL_CalcDarwin[[#This Row],[Fecha]],'Plantilla AEG ES'!$E$1:$HX$13,11,FALSE)</f>
        <v>1</v>
      </c>
      <c r="AM107" s="46">
        <f>HLOOKUP(TBL_CalcDarwin[[#This Row],[Fecha]],'Plantilla AEG ES'!$E$1:$HX$13,12,FALSE)</f>
        <v>7</v>
      </c>
      <c r="AN107" s="46">
        <f>HLOOKUP(TBL_CalcDarwin[[#This Row],[Fecha]],'Plantilla AEG ES'!$E$1:$HX$13,13,FALSE)</f>
        <v>1</v>
      </c>
      <c r="AO107" s="37">
        <f>TBL_CalcDarwin[[#This Row],[Lomitas - Barra A - 5.2 - Cerro]]+TBL_CalcDarwin[[#This Row],[Lomitas - Barra A - 5.2 - Medio]]+TBL_CalcDarwin[[#This Row],[Lomitas - Barra A - 5.2 - Mar]]</f>
        <v>23</v>
      </c>
      <c r="AP1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70.393000000000001</v>
      </c>
      <c r="AR1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07" s="37">
        <f>TBL_CalcDarwin[[#This Row],[Expansión - Barra A - 5.2 - Cerro]]+TBL_CalcDarwin[[#This Row],[Expansión - Barra A - 5.2 - Medio]]+TBL_CalcDarwin[[#This Row],[Expansión - Barra A - 5.2 - Mar]]</f>
        <v>2</v>
      </c>
      <c r="AT107" s="37">
        <f>TBL_CalcDarwin[[#This Row],[Expansión - Barra B - 5.2 - Cerro]]</f>
        <v>1</v>
      </c>
      <c r="AU1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07" s="29">
        <f>TBL_CalcDarwin[[#This Row],[Expansión - Barra B - 5.2 - Cerro]]*TBL_CalcDarwin[[#This Row],[AEG 5.2 MW Cerro]]</f>
        <v>1.597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5">
        <f t="shared" si="6"/>
        <v>45588.416666666417</v>
      </c>
      <c r="C108" s="17">
        <f t="shared" si="10"/>
        <v>4.4166666666666634</v>
      </c>
      <c r="D108" s="34">
        <f>TBL_CalcDarwin[[#This Row],[Darwin PLOM
MW]]+TBL_CalcDarwin[[#This Row],[Darwin PLOME
MW]]</f>
        <v>191.90899999999999</v>
      </c>
      <c r="E108" s="34">
        <f>TBL_CalcDarwin[[#This Row],[PLOM MW TOTAL BARRA A]]+TBL_CalcDarwin[[#This Row],[PLOM MW TOTAL BARRA B]]</f>
        <v>184.58699999999999</v>
      </c>
      <c r="F108" s="34">
        <f>TBL_CalcDarwin[[#This Row],[PLOME MW TOTAL BARRA A]]+TBL_CalcDarwin[[#This Row],[PLOME MW TOTAL BARRA B]]</f>
        <v>7.3220000000000001</v>
      </c>
      <c r="G108" s="48">
        <f>'Plantilla Datos'!D113</f>
        <v>8.3000000000000007</v>
      </c>
      <c r="H108" s="48">
        <f>'Plantilla Datos'!E113</f>
        <v>10.3</v>
      </c>
      <c r="I108" s="49">
        <f>'Plantilla Datos'!F113</f>
        <v>19.8</v>
      </c>
      <c r="J108" s="47">
        <f>CEILING('Plantilla Datos'!$L$3*TBL_CalcDarwin[[#This Row],[Darwin Gusts
m/s]],0.5)</f>
        <v>7.5</v>
      </c>
      <c r="K108" s="47">
        <f>CEILING('Plantilla Datos'!$L$4*TBL_CalcDarwin[[#This Row],[Darwin Gusts
m/s]],0.5)</f>
        <v>9</v>
      </c>
      <c r="L108" s="47">
        <f>CEILING(TBL_CalcDarwin[[#This Row],[Darwin Gusts
m/s]],0.5)</f>
        <v>10.5</v>
      </c>
      <c r="M1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1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08" s="41">
        <f>INDEX(Curva_Temp[Temp],MATCH(TBL_CalcDarwin[[#This Row],[Darwin Temp.
°C]],Curva_Temp[Temp]))</f>
        <v>15</v>
      </c>
      <c r="R108" s="41">
        <f>INDEX(Curva_Temp[Warranted Power Curve for 
1.194Kg/m3 air density '[kW']
SG 5.0-145 (AM+1, 5.2MW) AT 
90M],MATCH(TBL_CalcDarwin[[#This Row],[Darwin Temp.
°C]],Curva_Temp[Temp]))</f>
        <v>5200</v>
      </c>
      <c r="S108" s="41" cm="1">
        <f t="array" ref="S108">INDEX(Curva_Temp[Temp],MATCH(TBL_CalcDarwin[[#This Row],[Darwin Temp.
°C]],Curva_Temp[Temp])+1)</f>
        <v>20</v>
      </c>
      <c r="T108" s="41" cm="1">
        <f t="array" ref="T108">INDEX(Curva_Temp[Warranted Power Curve for 
1.194Kg/m3 air density '[kW']
SG 5.0-145 (AM+1, 5.2MW) AT 
90M],MATCH(TBL_CalcDarwin[[#This Row],[Darwin Temp.
°C]],Curva_Temp[Temp])+1)</f>
        <v>5000</v>
      </c>
      <c r="U1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08" s="41">
        <f>INDEX(Curva_Temp[Temp],MATCH(TBL_CalcDarwin[[#This Row],[Darwin Temp.
°C]],Curva_Temp[Temp]))</f>
        <v>15</v>
      </c>
      <c r="Z108" s="41">
        <f>INDEX(Curva_Temp[Warranted Power Curve for 
1.194Kg/m3 air density '[kW']
SG 5.0-145 (AM 0, 5.0MW) AT 
90M],MATCH(TBL_CalcDarwin[[#This Row],[Darwin Temp.
°C]],Curva_Temp[Temp]))</f>
        <v>5000</v>
      </c>
      <c r="AA108" s="41" cm="1">
        <f t="array" ref="AA108">INDEX(Curva_Temp[Temp],MATCH(TBL_CalcDarwin[[#This Row],[Darwin Temp.
°C]],Curva_Temp[Temp])+1)</f>
        <v>20</v>
      </c>
      <c r="AB108" s="41" cm="1">
        <f t="array" ref="AB108">INDEX(Curva_Temp[Warranted Power Curve for 
1.194Kg/m3 air density '[kW']
SG 5.0-145 (AM 0, 5.0MW) AT 
90M],MATCH(TBL_CalcDarwin[[#This Row],[Darwin Temp.
°C]],Curva_Temp[Temp])+1)</f>
        <v>5000</v>
      </c>
      <c r="AC108" s="45">
        <f>HLOOKUP(TBL_CalcDarwin[[#This Row],[Fecha]],'Plantilla AEG ES'!$E$1:$HX$13,2,FALSE)</f>
        <v>5</v>
      </c>
      <c r="AD108" s="45">
        <f>HLOOKUP(TBL_CalcDarwin[[#This Row],[Fecha]],'Plantilla AEG ES'!$E$1:$HX$13,3,FALSE)</f>
        <v>7</v>
      </c>
      <c r="AE108" s="45">
        <f>HLOOKUP(TBL_CalcDarwin[[#This Row],[Fecha]],'Plantilla AEG ES'!$E$1:$HX$13,4,FALSE)</f>
        <v>11</v>
      </c>
      <c r="AF108" s="45">
        <f>HLOOKUP(TBL_CalcDarwin[[#This Row],[Fecha]],'Plantilla AEG ES'!$E$1:$HX$13,5,FALSE)</f>
        <v>1</v>
      </c>
      <c r="AG108" s="45">
        <f>HLOOKUP(TBL_CalcDarwin[[#This Row],[Fecha]],'Plantilla AEG ES'!$E$1:$HX$13,6,FALSE)</f>
        <v>1</v>
      </c>
      <c r="AH108" s="45">
        <f>HLOOKUP(TBL_CalcDarwin[[#This Row],[Fecha]],'Plantilla AEG ES'!$E$1:$HX$13,7,FALSE)</f>
        <v>0</v>
      </c>
      <c r="AI108" s="46">
        <f>HLOOKUP(TBL_CalcDarwin[[#This Row],[Fecha]],'Plantilla AEG ES'!$E$1:$HX$13,8,FALSE)</f>
        <v>0</v>
      </c>
      <c r="AJ108" s="46">
        <f>HLOOKUP(TBL_CalcDarwin[[#This Row],[Fecha]],'Plantilla AEG ES'!$E$1:$HX$13,9,FALSE)</f>
        <v>3</v>
      </c>
      <c r="AK108" s="46">
        <f>HLOOKUP(TBL_CalcDarwin[[#This Row],[Fecha]],'Plantilla AEG ES'!$E$1:$HX$13,10,FALSE)</f>
        <v>12</v>
      </c>
      <c r="AL108" s="46">
        <f>HLOOKUP(TBL_CalcDarwin[[#This Row],[Fecha]],'Plantilla AEG ES'!$E$1:$HX$13,11,FALSE)</f>
        <v>1</v>
      </c>
      <c r="AM108" s="46">
        <f>HLOOKUP(TBL_CalcDarwin[[#This Row],[Fecha]],'Plantilla AEG ES'!$E$1:$HX$13,12,FALSE)</f>
        <v>7</v>
      </c>
      <c r="AN108" s="46">
        <f>HLOOKUP(TBL_CalcDarwin[[#This Row],[Fecha]],'Plantilla AEG ES'!$E$1:$HX$13,13,FALSE)</f>
        <v>1</v>
      </c>
      <c r="AO108" s="37">
        <f>TBL_CalcDarwin[[#This Row],[Lomitas - Barra A - 5.2 - Cerro]]+TBL_CalcDarwin[[#This Row],[Lomitas - Barra A - 5.2 - Medio]]+TBL_CalcDarwin[[#This Row],[Lomitas - Barra A - 5.2 - Mar]]</f>
        <v>23</v>
      </c>
      <c r="AP1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1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08" s="37">
        <f>TBL_CalcDarwin[[#This Row],[Expansión - Barra A - 5.2 - Cerro]]+TBL_CalcDarwin[[#This Row],[Expansión - Barra A - 5.2 - Medio]]+TBL_CalcDarwin[[#This Row],[Expansión - Barra A - 5.2 - Mar]]</f>
        <v>2</v>
      </c>
      <c r="AT108" s="37">
        <f>TBL_CalcDarwin[[#This Row],[Expansión - Barra B - 5.2 - Cerro]]</f>
        <v>1</v>
      </c>
      <c r="AU1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08" s="29">
        <f>TBL_CalcDarwin[[#This Row],[Expansión - Barra B - 5.2 - Cerro]]*TBL_CalcDarwin[[#This Row],[AEG 5.2 MW Cerro]]</f>
        <v>1.978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5">
        <f t="shared" si="6"/>
        <v>45588.458333333081</v>
      </c>
      <c r="C109" s="17">
        <f t="shared" si="10"/>
        <v>4.4583333333333304</v>
      </c>
      <c r="D109" s="34">
        <f>TBL_CalcDarwin[[#This Row],[Darwin PLOM
MW]]+TBL_CalcDarwin[[#This Row],[Darwin PLOME
MW]]</f>
        <v>223.55600000000001</v>
      </c>
      <c r="E109" s="34">
        <f>TBL_CalcDarwin[[#This Row],[PLOM MW TOTAL BARRA A]]+TBL_CalcDarwin[[#This Row],[PLOM MW TOTAL BARRA B]]</f>
        <v>213.958</v>
      </c>
      <c r="F109" s="34">
        <f>TBL_CalcDarwin[[#This Row],[PLOME MW TOTAL BARRA A]]+TBL_CalcDarwin[[#This Row],[PLOME MW TOTAL BARRA B]]</f>
        <v>9.5980000000000008</v>
      </c>
      <c r="G109" s="48">
        <f>'Plantilla Datos'!D114</f>
        <v>8.9</v>
      </c>
      <c r="H109" s="48">
        <f>'Plantilla Datos'!E114</f>
        <v>11.1</v>
      </c>
      <c r="I109" s="49">
        <f>'Plantilla Datos'!F114</f>
        <v>20</v>
      </c>
      <c r="J109" s="47">
        <f>CEILING('Plantilla Datos'!$L$3*TBL_CalcDarwin[[#This Row],[Darwin Gusts
m/s]],0.5)</f>
        <v>8.5</v>
      </c>
      <c r="K109" s="47">
        <f>CEILING('Plantilla Datos'!$L$4*TBL_CalcDarwin[[#This Row],[Darwin Gusts
m/s]],0.5)</f>
        <v>9.5</v>
      </c>
      <c r="L109" s="47">
        <f>CEILING(TBL_CalcDarwin[[#This Row],[Darwin Gusts
m/s]],0.5)</f>
        <v>11.5</v>
      </c>
      <c r="M1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1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</v>
      </c>
      <c r="Q109" s="41">
        <f>INDEX(Curva_Temp[Temp],MATCH(TBL_CalcDarwin[[#This Row],[Darwin Temp.
°C]],Curva_Temp[Temp]))</f>
        <v>20</v>
      </c>
      <c r="R109" s="41">
        <f>INDEX(Curva_Temp[Warranted Power Curve for 
1.194Kg/m3 air density '[kW']
SG 5.0-145 (AM+1, 5.2MW) AT 
90M],MATCH(TBL_CalcDarwin[[#This Row],[Darwin Temp.
°C]],Curva_Temp[Temp]))</f>
        <v>5000</v>
      </c>
      <c r="S109" s="41" cm="1">
        <f t="array" ref="S109">INDEX(Curva_Temp[Temp],MATCH(TBL_CalcDarwin[[#This Row],[Darwin Temp.
°C]],Curva_Temp[Temp])+1)</f>
        <v>25</v>
      </c>
      <c r="T109" s="41" cm="1">
        <f t="array" ref="T109">INDEX(Curva_Temp[Warranted Power Curve for 
1.194Kg/m3 air density '[kW']
SG 5.0-145 (AM+1, 5.2MW) AT 
90M],MATCH(TBL_CalcDarwin[[#This Row],[Darwin Temp.
°C]],Curva_Temp[Temp])+1)</f>
        <v>4900</v>
      </c>
      <c r="U1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09" s="41">
        <f>INDEX(Curva_Temp[Temp],MATCH(TBL_CalcDarwin[[#This Row],[Darwin Temp.
°C]],Curva_Temp[Temp]))</f>
        <v>20</v>
      </c>
      <c r="Z109" s="41">
        <f>INDEX(Curva_Temp[Warranted Power Curve for 
1.194Kg/m3 air density '[kW']
SG 5.0-145 (AM 0, 5.0MW) AT 
90M],MATCH(TBL_CalcDarwin[[#This Row],[Darwin Temp.
°C]],Curva_Temp[Temp]))</f>
        <v>5000</v>
      </c>
      <c r="AA109" s="41" cm="1">
        <f t="array" ref="AA109">INDEX(Curva_Temp[Temp],MATCH(TBL_CalcDarwin[[#This Row],[Darwin Temp.
°C]],Curva_Temp[Temp])+1)</f>
        <v>25</v>
      </c>
      <c r="AB109" s="41" cm="1">
        <f t="array" ref="AB109">INDEX(Curva_Temp[Warranted Power Curve for 
1.194Kg/m3 air density '[kW']
SG 5.0-145 (AM 0, 5.0MW) AT 
90M],MATCH(TBL_CalcDarwin[[#This Row],[Darwin Temp.
°C]],Curva_Temp[Temp])+1)</f>
        <v>4900</v>
      </c>
      <c r="AC109" s="45">
        <f>HLOOKUP(TBL_CalcDarwin[[#This Row],[Fecha]],'Plantilla AEG ES'!$E$1:$HX$13,2,FALSE)</f>
        <v>5</v>
      </c>
      <c r="AD109" s="45">
        <f>HLOOKUP(TBL_CalcDarwin[[#This Row],[Fecha]],'Plantilla AEG ES'!$E$1:$HX$13,3,FALSE)</f>
        <v>8</v>
      </c>
      <c r="AE109" s="45">
        <f>HLOOKUP(TBL_CalcDarwin[[#This Row],[Fecha]],'Plantilla AEG ES'!$E$1:$HX$13,4,FALSE)</f>
        <v>12</v>
      </c>
      <c r="AF109" s="45">
        <f>HLOOKUP(TBL_CalcDarwin[[#This Row],[Fecha]],'Plantilla AEG ES'!$E$1:$HX$13,5,FALSE)</f>
        <v>1</v>
      </c>
      <c r="AG109" s="45">
        <f>HLOOKUP(TBL_CalcDarwin[[#This Row],[Fecha]],'Plantilla AEG ES'!$E$1:$HX$13,6,FALSE)</f>
        <v>1</v>
      </c>
      <c r="AH109" s="45">
        <f>HLOOKUP(TBL_CalcDarwin[[#This Row],[Fecha]],'Plantilla AEG ES'!$E$1:$HX$13,7,FALSE)</f>
        <v>0</v>
      </c>
      <c r="AI109" s="46">
        <f>HLOOKUP(TBL_CalcDarwin[[#This Row],[Fecha]],'Plantilla AEG ES'!$E$1:$HX$13,8,FALSE)</f>
        <v>0</v>
      </c>
      <c r="AJ109" s="46">
        <f>HLOOKUP(TBL_CalcDarwin[[#This Row],[Fecha]],'Plantilla AEG ES'!$E$1:$HX$13,9,FALSE)</f>
        <v>3</v>
      </c>
      <c r="AK109" s="46">
        <f>HLOOKUP(TBL_CalcDarwin[[#This Row],[Fecha]],'Plantilla AEG ES'!$E$1:$HX$13,10,FALSE)</f>
        <v>12</v>
      </c>
      <c r="AL109" s="46">
        <f>HLOOKUP(TBL_CalcDarwin[[#This Row],[Fecha]],'Plantilla AEG ES'!$E$1:$HX$13,11,FALSE)</f>
        <v>1</v>
      </c>
      <c r="AM109" s="46">
        <f>HLOOKUP(TBL_CalcDarwin[[#This Row],[Fecha]],'Plantilla AEG ES'!$E$1:$HX$13,12,FALSE)</f>
        <v>7</v>
      </c>
      <c r="AN109" s="46">
        <f>HLOOKUP(TBL_CalcDarwin[[#This Row],[Fecha]],'Plantilla AEG ES'!$E$1:$HX$13,13,FALSE)</f>
        <v>1</v>
      </c>
      <c r="AO109" s="37">
        <f>TBL_CalcDarwin[[#This Row],[Lomitas - Barra A - 5.2 - Cerro]]+TBL_CalcDarwin[[#This Row],[Lomitas - Barra A - 5.2 - Medio]]+TBL_CalcDarwin[[#This Row],[Lomitas - Barra A - 5.2 - Mar]]</f>
        <v>25</v>
      </c>
      <c r="AP1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105.126</v>
      </c>
      <c r="AR1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108.83199999999999</v>
      </c>
      <c r="AS109" s="37">
        <f>TBL_CalcDarwin[[#This Row],[Expansión - Barra A - 5.2 - Cerro]]+TBL_CalcDarwin[[#This Row],[Expansión - Barra A - 5.2 - Medio]]+TBL_CalcDarwin[[#This Row],[Expansión - Barra A - 5.2 - Mar]]</f>
        <v>2</v>
      </c>
      <c r="AT109" s="37">
        <f>TBL_CalcDarwin[[#This Row],[Expansión - Barra B - 5.2 - Cerro]]</f>
        <v>1</v>
      </c>
      <c r="AU1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109" s="29">
        <f>TBL_CalcDarwin[[#This Row],[Expansión - Barra B - 5.2 - Cerro]]*TBL_CalcDarwin[[#This Row],[AEG 5.2 MW Cerro]]</f>
        <v>2.8780000000000001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5">
        <f t="shared" si="6"/>
        <v>45588.499999999745</v>
      </c>
      <c r="C110" s="17">
        <f t="shared" si="10"/>
        <v>4.4999999999999973</v>
      </c>
      <c r="D110" s="34">
        <f>TBL_CalcDarwin[[#This Row],[Darwin PLOM
MW]]+TBL_CalcDarwin[[#This Row],[Darwin PLOME
MW]]</f>
        <v>237.61</v>
      </c>
      <c r="E110" s="34">
        <f>TBL_CalcDarwin[[#This Row],[PLOM MW TOTAL BARRA A]]+TBL_CalcDarwin[[#This Row],[PLOM MW TOTAL BARRA B]]</f>
        <v>226.215</v>
      </c>
      <c r="F110" s="34">
        <f>TBL_CalcDarwin[[#This Row],[PLOME MW TOTAL BARRA A]]+TBL_CalcDarwin[[#This Row],[PLOME MW TOTAL BARRA B]]</f>
        <v>11.395</v>
      </c>
      <c r="G110" s="48">
        <f>'Plantilla Datos'!D115</f>
        <v>9.6</v>
      </c>
      <c r="H110" s="48">
        <f>'Plantilla Datos'!E115</f>
        <v>12</v>
      </c>
      <c r="I110" s="49">
        <f>'Plantilla Datos'!F115</f>
        <v>20.100000000000001</v>
      </c>
      <c r="J110" s="47">
        <f>CEILING('Plantilla Datos'!$L$3*TBL_CalcDarwin[[#This Row],[Darwin Gusts
m/s]],0.5)</f>
        <v>9</v>
      </c>
      <c r="K110" s="47">
        <f>CEILING('Plantilla Datos'!$L$4*TBL_CalcDarwin[[#This Row],[Darwin Gusts
m/s]],0.5)</f>
        <v>10.5</v>
      </c>
      <c r="L110" s="47">
        <f>CEILING(TBL_CalcDarwin[[#This Row],[Darwin Gusts
m/s]],0.5)</f>
        <v>12</v>
      </c>
      <c r="M1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1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4.9980000000000002</v>
      </c>
      <c r="Q110" s="41">
        <f>INDEX(Curva_Temp[Temp],MATCH(TBL_CalcDarwin[[#This Row],[Darwin Temp.
°C]],Curva_Temp[Temp]))</f>
        <v>20</v>
      </c>
      <c r="R110" s="41">
        <f>INDEX(Curva_Temp[Warranted Power Curve for 
1.194Kg/m3 air density '[kW']
SG 5.0-145 (AM+1, 5.2MW) AT 
90M],MATCH(TBL_CalcDarwin[[#This Row],[Darwin Temp.
°C]],Curva_Temp[Temp]))</f>
        <v>5000</v>
      </c>
      <c r="S110" s="41" cm="1">
        <f t="array" ref="S110">INDEX(Curva_Temp[Temp],MATCH(TBL_CalcDarwin[[#This Row],[Darwin Temp.
°C]],Curva_Temp[Temp])+1)</f>
        <v>25</v>
      </c>
      <c r="T110" s="41" cm="1">
        <f t="array" ref="T110">INDEX(Curva_Temp[Warranted Power Curve for 
1.194Kg/m3 air density '[kW']
SG 5.0-145 (AM+1, 5.2MW) AT 
90M],MATCH(TBL_CalcDarwin[[#This Row],[Darwin Temp.
°C]],Curva_Temp[Temp])+1)</f>
        <v>4900</v>
      </c>
      <c r="U1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1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10" s="41">
        <f>INDEX(Curva_Temp[Temp],MATCH(TBL_CalcDarwin[[#This Row],[Darwin Temp.
°C]],Curva_Temp[Temp]))</f>
        <v>20</v>
      </c>
      <c r="Z110" s="41">
        <f>INDEX(Curva_Temp[Warranted Power Curve for 
1.194Kg/m3 air density '[kW']
SG 5.0-145 (AM 0, 5.0MW) AT 
90M],MATCH(TBL_CalcDarwin[[#This Row],[Darwin Temp.
°C]],Curva_Temp[Temp]))</f>
        <v>5000</v>
      </c>
      <c r="AA110" s="41" cm="1">
        <f t="array" ref="AA110">INDEX(Curva_Temp[Temp],MATCH(TBL_CalcDarwin[[#This Row],[Darwin Temp.
°C]],Curva_Temp[Temp])+1)</f>
        <v>25</v>
      </c>
      <c r="AB110" s="41" cm="1">
        <f t="array" ref="AB110">INDEX(Curva_Temp[Warranted Power Curve for 
1.194Kg/m3 air density '[kW']
SG 5.0-145 (AM 0, 5.0MW) AT 
90M],MATCH(TBL_CalcDarwin[[#This Row],[Darwin Temp.
°C]],Curva_Temp[Temp])+1)</f>
        <v>4900</v>
      </c>
      <c r="AC110" s="45">
        <f>HLOOKUP(TBL_CalcDarwin[[#This Row],[Fecha]],'Plantilla AEG ES'!$E$1:$HX$13,2,FALSE)</f>
        <v>5</v>
      </c>
      <c r="AD110" s="45">
        <f>HLOOKUP(TBL_CalcDarwin[[#This Row],[Fecha]],'Plantilla AEG ES'!$E$1:$HX$13,3,FALSE)</f>
        <v>8</v>
      </c>
      <c r="AE110" s="45">
        <f>HLOOKUP(TBL_CalcDarwin[[#This Row],[Fecha]],'Plantilla AEG ES'!$E$1:$HX$13,4,FALSE)</f>
        <v>12</v>
      </c>
      <c r="AF110" s="45">
        <f>HLOOKUP(TBL_CalcDarwin[[#This Row],[Fecha]],'Plantilla AEG ES'!$E$1:$HX$13,5,FALSE)</f>
        <v>1</v>
      </c>
      <c r="AG110" s="45">
        <f>HLOOKUP(TBL_CalcDarwin[[#This Row],[Fecha]],'Plantilla AEG ES'!$E$1:$HX$13,6,FALSE)</f>
        <v>1</v>
      </c>
      <c r="AH110" s="45">
        <f>HLOOKUP(TBL_CalcDarwin[[#This Row],[Fecha]],'Plantilla AEG ES'!$E$1:$HX$13,7,FALSE)</f>
        <v>0</v>
      </c>
      <c r="AI110" s="46">
        <f>HLOOKUP(TBL_CalcDarwin[[#This Row],[Fecha]],'Plantilla AEG ES'!$E$1:$HX$13,8,FALSE)</f>
        <v>0</v>
      </c>
      <c r="AJ110" s="46">
        <f>HLOOKUP(TBL_CalcDarwin[[#This Row],[Fecha]],'Plantilla AEG ES'!$E$1:$HX$13,9,FALSE)</f>
        <v>3</v>
      </c>
      <c r="AK110" s="46">
        <f>HLOOKUP(TBL_CalcDarwin[[#This Row],[Fecha]],'Plantilla AEG ES'!$E$1:$HX$13,10,FALSE)</f>
        <v>12</v>
      </c>
      <c r="AL110" s="46">
        <f>HLOOKUP(TBL_CalcDarwin[[#This Row],[Fecha]],'Plantilla AEG ES'!$E$1:$HX$13,11,FALSE)</f>
        <v>1</v>
      </c>
      <c r="AM110" s="46">
        <f>HLOOKUP(TBL_CalcDarwin[[#This Row],[Fecha]],'Plantilla AEG ES'!$E$1:$HX$13,12,FALSE)</f>
        <v>7</v>
      </c>
      <c r="AN110" s="46">
        <f>HLOOKUP(TBL_CalcDarwin[[#This Row],[Fecha]],'Plantilla AEG ES'!$E$1:$HX$13,13,FALSE)</f>
        <v>1</v>
      </c>
      <c r="AO110" s="37">
        <f>TBL_CalcDarwin[[#This Row],[Lomitas - Barra A - 5.2 - Cerro]]+TBL_CalcDarwin[[#This Row],[Lomitas - Barra A - 5.2 - Medio]]+TBL_CalcDarwin[[#This Row],[Lomitas - Barra A - 5.2 - Mar]]</f>
        <v>25</v>
      </c>
      <c r="AP1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114.11</v>
      </c>
      <c r="AR1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112.105</v>
      </c>
      <c r="AS110" s="37">
        <f>TBL_CalcDarwin[[#This Row],[Expansión - Barra A - 5.2 - Cerro]]+TBL_CalcDarwin[[#This Row],[Expansión - Barra A - 5.2 - Medio]]+TBL_CalcDarwin[[#This Row],[Expansión - Barra A - 5.2 - Mar]]</f>
        <v>2</v>
      </c>
      <c r="AT110" s="37">
        <f>TBL_CalcDarwin[[#This Row],[Expansión - Barra B - 5.2 - Cerro]]</f>
        <v>1</v>
      </c>
      <c r="AU1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10" s="29">
        <f>TBL_CalcDarwin[[#This Row],[Expansión - Barra B - 5.2 - Cerro]]*TBL_CalcDarwin[[#This Row],[AEG 5.2 MW Cerro]]</f>
        <v>3.3660000000000001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5">
        <f t="shared" si="6"/>
        <v>45588.54166666641</v>
      </c>
      <c r="C111" s="17">
        <f t="shared" si="10"/>
        <v>4.5416666666666643</v>
      </c>
      <c r="D111" s="34">
        <f>TBL_CalcDarwin[[#This Row],[Darwin PLOM
MW]]+TBL_CalcDarwin[[#This Row],[Darwin PLOME
MW]]</f>
        <v>245.02600000000001</v>
      </c>
      <c r="E111" s="34">
        <f>TBL_CalcDarwin[[#This Row],[PLOM MW TOTAL BARRA A]]+TBL_CalcDarwin[[#This Row],[PLOM MW TOTAL BARRA B]]</f>
        <v>232.38600000000002</v>
      </c>
      <c r="F111" s="34">
        <f>TBL_CalcDarwin[[#This Row],[PLOME MW TOTAL BARRA A]]+TBL_CalcDarwin[[#This Row],[PLOME MW TOTAL BARRA B]]</f>
        <v>12.64</v>
      </c>
      <c r="G111" s="48">
        <f>'Plantilla Datos'!D116</f>
        <v>10.3</v>
      </c>
      <c r="H111" s="48">
        <f>'Plantilla Datos'!E116</f>
        <v>12.8</v>
      </c>
      <c r="I111" s="49">
        <f>'Plantilla Datos'!F116</f>
        <v>20.2</v>
      </c>
      <c r="J111" s="47">
        <f>CEILING('Plantilla Datos'!$L$3*TBL_CalcDarwin[[#This Row],[Darwin Gusts
m/s]],0.5)</f>
        <v>9.5</v>
      </c>
      <c r="K111" s="47">
        <f>CEILING('Plantilla Datos'!$L$4*TBL_CalcDarwin[[#This Row],[Darwin Gusts
m/s]],0.5)</f>
        <v>11</v>
      </c>
      <c r="L111" s="47">
        <f>CEILING(TBL_CalcDarwin[[#This Row],[Darwin Gusts
m/s]],0.5)</f>
        <v>13</v>
      </c>
      <c r="M1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1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4.9960000000000004</v>
      </c>
      <c r="Q111" s="41">
        <f>INDEX(Curva_Temp[Temp],MATCH(TBL_CalcDarwin[[#This Row],[Darwin Temp.
°C]],Curva_Temp[Temp]))</f>
        <v>20</v>
      </c>
      <c r="R111" s="41">
        <f>INDEX(Curva_Temp[Warranted Power Curve for 
1.194Kg/m3 air density '[kW']
SG 5.0-145 (AM+1, 5.2MW) AT 
90M],MATCH(TBL_CalcDarwin[[#This Row],[Darwin Temp.
°C]],Curva_Temp[Temp]))</f>
        <v>5000</v>
      </c>
      <c r="S111" s="41" cm="1">
        <f t="array" ref="S111">INDEX(Curva_Temp[Temp],MATCH(TBL_CalcDarwin[[#This Row],[Darwin Temp.
°C]],Curva_Temp[Temp])+1)</f>
        <v>25</v>
      </c>
      <c r="T111" s="41" cm="1">
        <f t="array" ref="T111">INDEX(Curva_Temp[Warranted Power Curve for 
1.194Kg/m3 air density '[kW']
SG 5.0-145 (AM+1, 5.2MW) AT 
90M],MATCH(TBL_CalcDarwin[[#This Row],[Darwin Temp.
°C]],Curva_Temp[Temp])+1)</f>
        <v>4900</v>
      </c>
      <c r="U1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1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11" s="41">
        <f>INDEX(Curva_Temp[Temp],MATCH(TBL_CalcDarwin[[#This Row],[Darwin Temp.
°C]],Curva_Temp[Temp]))</f>
        <v>20</v>
      </c>
      <c r="Z111" s="41">
        <f>INDEX(Curva_Temp[Warranted Power Curve for 
1.194Kg/m3 air density '[kW']
SG 5.0-145 (AM 0, 5.0MW) AT 
90M],MATCH(TBL_CalcDarwin[[#This Row],[Darwin Temp.
°C]],Curva_Temp[Temp]))</f>
        <v>5000</v>
      </c>
      <c r="AA111" s="41" cm="1">
        <f t="array" ref="AA111">INDEX(Curva_Temp[Temp],MATCH(TBL_CalcDarwin[[#This Row],[Darwin Temp.
°C]],Curva_Temp[Temp])+1)</f>
        <v>25</v>
      </c>
      <c r="AB111" s="41" cm="1">
        <f t="array" ref="AB111">INDEX(Curva_Temp[Warranted Power Curve for 
1.194Kg/m3 air density '[kW']
SG 5.0-145 (AM 0, 5.0MW) AT 
90M],MATCH(TBL_CalcDarwin[[#This Row],[Darwin Temp.
°C]],Curva_Temp[Temp])+1)</f>
        <v>4900</v>
      </c>
      <c r="AC111" s="45">
        <f>HLOOKUP(TBL_CalcDarwin[[#This Row],[Fecha]],'Plantilla AEG ES'!$E$1:$HX$13,2,FALSE)</f>
        <v>5</v>
      </c>
      <c r="AD111" s="45">
        <f>HLOOKUP(TBL_CalcDarwin[[#This Row],[Fecha]],'Plantilla AEG ES'!$E$1:$HX$13,3,FALSE)</f>
        <v>8</v>
      </c>
      <c r="AE111" s="45">
        <f>HLOOKUP(TBL_CalcDarwin[[#This Row],[Fecha]],'Plantilla AEG ES'!$E$1:$HX$13,4,FALSE)</f>
        <v>12</v>
      </c>
      <c r="AF111" s="45">
        <f>HLOOKUP(TBL_CalcDarwin[[#This Row],[Fecha]],'Plantilla AEG ES'!$E$1:$HX$13,5,FALSE)</f>
        <v>1</v>
      </c>
      <c r="AG111" s="45">
        <f>HLOOKUP(TBL_CalcDarwin[[#This Row],[Fecha]],'Plantilla AEG ES'!$E$1:$HX$13,6,FALSE)</f>
        <v>1</v>
      </c>
      <c r="AH111" s="45">
        <f>HLOOKUP(TBL_CalcDarwin[[#This Row],[Fecha]],'Plantilla AEG ES'!$E$1:$HX$13,7,FALSE)</f>
        <v>0</v>
      </c>
      <c r="AI111" s="46">
        <f>HLOOKUP(TBL_CalcDarwin[[#This Row],[Fecha]],'Plantilla AEG ES'!$E$1:$HX$13,8,FALSE)</f>
        <v>0</v>
      </c>
      <c r="AJ111" s="46">
        <f>HLOOKUP(TBL_CalcDarwin[[#This Row],[Fecha]],'Plantilla AEG ES'!$E$1:$HX$13,9,FALSE)</f>
        <v>3</v>
      </c>
      <c r="AK111" s="46">
        <f>HLOOKUP(TBL_CalcDarwin[[#This Row],[Fecha]],'Plantilla AEG ES'!$E$1:$HX$13,10,FALSE)</f>
        <v>12</v>
      </c>
      <c r="AL111" s="46">
        <f>HLOOKUP(TBL_CalcDarwin[[#This Row],[Fecha]],'Plantilla AEG ES'!$E$1:$HX$13,11,FALSE)</f>
        <v>1</v>
      </c>
      <c r="AM111" s="46">
        <f>HLOOKUP(TBL_CalcDarwin[[#This Row],[Fecha]],'Plantilla AEG ES'!$E$1:$HX$13,12,FALSE)</f>
        <v>7</v>
      </c>
      <c r="AN111" s="46">
        <f>HLOOKUP(TBL_CalcDarwin[[#This Row],[Fecha]],'Plantilla AEG ES'!$E$1:$HX$13,13,FALSE)</f>
        <v>1</v>
      </c>
      <c r="AO111" s="37">
        <f>TBL_CalcDarwin[[#This Row],[Lomitas - Barra A - 5.2 - Cerro]]+TBL_CalcDarwin[[#This Row],[Lomitas - Barra A - 5.2 - Medio]]+TBL_CalcDarwin[[#This Row],[Lomitas - Barra A - 5.2 - Mar]]</f>
        <v>25</v>
      </c>
      <c r="AP1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118.81</v>
      </c>
      <c r="AR1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113.57600000000001</v>
      </c>
      <c r="AS111" s="37">
        <f>TBL_CalcDarwin[[#This Row],[Expansión - Barra A - 5.2 - Cerro]]+TBL_CalcDarwin[[#This Row],[Expansión - Barra A - 5.2 - Medio]]+TBL_CalcDarwin[[#This Row],[Expansión - Barra A - 5.2 - Mar]]</f>
        <v>2</v>
      </c>
      <c r="AT111" s="37">
        <f>TBL_CalcDarwin[[#This Row],[Expansión - Barra B - 5.2 - Cerro]]</f>
        <v>1</v>
      </c>
      <c r="AU1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11" s="29">
        <f>TBL_CalcDarwin[[#This Row],[Expansión - Barra B - 5.2 - Cerro]]*TBL_CalcDarwin[[#This Row],[AEG 5.2 MW Cerro]]</f>
        <v>3.8420000000000001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5">
        <f t="shared" si="6"/>
        <v>45588.583333333074</v>
      </c>
      <c r="C112" s="17">
        <f t="shared" si="10"/>
        <v>4.5833333333333313</v>
      </c>
      <c r="D112" s="34">
        <f>TBL_CalcDarwin[[#This Row],[Darwin PLOM
MW]]+TBL_CalcDarwin[[#This Row],[Darwin PLOME
MW]]</f>
        <v>246.08199999999997</v>
      </c>
      <c r="E112" s="34">
        <f>TBL_CalcDarwin[[#This Row],[PLOM MW TOTAL BARRA A]]+TBL_CalcDarwin[[#This Row],[PLOM MW TOTAL BARRA B]]</f>
        <v>233.38599999999997</v>
      </c>
      <c r="F112" s="34">
        <f>TBL_CalcDarwin[[#This Row],[PLOME MW TOTAL BARRA A]]+TBL_CalcDarwin[[#This Row],[PLOME MW TOTAL BARRA B]]</f>
        <v>12.696</v>
      </c>
      <c r="G112" s="48">
        <f>'Plantilla Datos'!D117</f>
        <v>10.5</v>
      </c>
      <c r="H112" s="48">
        <f>'Plantilla Datos'!E117</f>
        <v>13</v>
      </c>
      <c r="I112" s="49">
        <f>'Plantilla Datos'!F117</f>
        <v>19.7</v>
      </c>
      <c r="J112" s="47">
        <f>CEILING('Plantilla Datos'!$L$3*TBL_CalcDarwin[[#This Row],[Darwin Gusts
m/s]],0.5)</f>
        <v>9.5</v>
      </c>
      <c r="K112" s="47">
        <f>CEILING('Plantilla Datos'!$L$4*TBL_CalcDarwin[[#This Row],[Darwin Gusts
m/s]],0.5)</f>
        <v>11.5</v>
      </c>
      <c r="L112" s="47">
        <f>CEILING(TBL_CalcDarwin[[#This Row],[Darwin Gusts
m/s]],0.5)</f>
        <v>13</v>
      </c>
      <c r="M1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1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5.0119999999999996</v>
      </c>
      <c r="P1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5.0119999999999996</v>
      </c>
      <c r="Q112" s="41">
        <f>INDEX(Curva_Temp[Temp],MATCH(TBL_CalcDarwin[[#This Row],[Darwin Temp.
°C]],Curva_Temp[Temp]))</f>
        <v>15</v>
      </c>
      <c r="R112" s="41">
        <f>INDEX(Curva_Temp[Warranted Power Curve for 
1.194Kg/m3 air density '[kW']
SG 5.0-145 (AM+1, 5.2MW) AT 
90M],MATCH(TBL_CalcDarwin[[#This Row],[Darwin Temp.
°C]],Curva_Temp[Temp]))</f>
        <v>5200</v>
      </c>
      <c r="S112" s="41" cm="1">
        <f t="array" ref="S112">INDEX(Curva_Temp[Temp],MATCH(TBL_CalcDarwin[[#This Row],[Darwin Temp.
°C]],Curva_Temp[Temp])+1)</f>
        <v>20</v>
      </c>
      <c r="T112" s="41" cm="1">
        <f t="array" ref="T112">INDEX(Curva_Temp[Warranted Power Curve for 
1.194Kg/m3 air density '[kW']
SG 5.0-145 (AM+1, 5.2MW) AT 
90M],MATCH(TBL_CalcDarwin[[#This Row],[Darwin Temp.
°C]],Curva_Temp[Temp])+1)</f>
        <v>5000</v>
      </c>
      <c r="U1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12" s="41">
        <f>INDEX(Curva_Temp[Temp],MATCH(TBL_CalcDarwin[[#This Row],[Darwin Temp.
°C]],Curva_Temp[Temp]))</f>
        <v>15</v>
      </c>
      <c r="Z112" s="41">
        <f>INDEX(Curva_Temp[Warranted Power Curve for 
1.194Kg/m3 air density '[kW']
SG 5.0-145 (AM 0, 5.0MW) AT 
90M],MATCH(TBL_CalcDarwin[[#This Row],[Darwin Temp.
°C]],Curva_Temp[Temp]))</f>
        <v>5000</v>
      </c>
      <c r="AA112" s="41" cm="1">
        <f t="array" ref="AA112">INDEX(Curva_Temp[Temp],MATCH(TBL_CalcDarwin[[#This Row],[Darwin Temp.
°C]],Curva_Temp[Temp])+1)</f>
        <v>20</v>
      </c>
      <c r="AB112" s="41" cm="1">
        <f t="array" ref="AB112">INDEX(Curva_Temp[Warranted Power Curve for 
1.194Kg/m3 air density '[kW']
SG 5.0-145 (AM 0, 5.0MW) AT 
90M],MATCH(TBL_CalcDarwin[[#This Row],[Darwin Temp.
°C]],Curva_Temp[Temp])+1)</f>
        <v>5000</v>
      </c>
      <c r="AC112" s="45">
        <f>HLOOKUP(TBL_CalcDarwin[[#This Row],[Fecha]],'Plantilla AEG ES'!$E$1:$HX$13,2,FALSE)</f>
        <v>5</v>
      </c>
      <c r="AD112" s="45">
        <f>HLOOKUP(TBL_CalcDarwin[[#This Row],[Fecha]],'Plantilla AEG ES'!$E$1:$HX$13,3,FALSE)</f>
        <v>8</v>
      </c>
      <c r="AE112" s="45">
        <f>HLOOKUP(TBL_CalcDarwin[[#This Row],[Fecha]],'Plantilla AEG ES'!$E$1:$HX$13,4,FALSE)</f>
        <v>12</v>
      </c>
      <c r="AF112" s="45">
        <f>HLOOKUP(TBL_CalcDarwin[[#This Row],[Fecha]],'Plantilla AEG ES'!$E$1:$HX$13,5,FALSE)</f>
        <v>1</v>
      </c>
      <c r="AG112" s="45">
        <f>HLOOKUP(TBL_CalcDarwin[[#This Row],[Fecha]],'Plantilla AEG ES'!$E$1:$HX$13,6,FALSE)</f>
        <v>1</v>
      </c>
      <c r="AH112" s="45">
        <f>HLOOKUP(TBL_CalcDarwin[[#This Row],[Fecha]],'Plantilla AEG ES'!$E$1:$HX$13,7,FALSE)</f>
        <v>0</v>
      </c>
      <c r="AI112" s="46">
        <f>HLOOKUP(TBL_CalcDarwin[[#This Row],[Fecha]],'Plantilla AEG ES'!$E$1:$HX$13,8,FALSE)</f>
        <v>0</v>
      </c>
      <c r="AJ112" s="46">
        <f>HLOOKUP(TBL_CalcDarwin[[#This Row],[Fecha]],'Plantilla AEG ES'!$E$1:$HX$13,9,FALSE)</f>
        <v>3</v>
      </c>
      <c r="AK112" s="46">
        <f>HLOOKUP(TBL_CalcDarwin[[#This Row],[Fecha]],'Plantilla AEG ES'!$E$1:$HX$13,10,FALSE)</f>
        <v>12</v>
      </c>
      <c r="AL112" s="46">
        <f>HLOOKUP(TBL_CalcDarwin[[#This Row],[Fecha]],'Plantilla AEG ES'!$E$1:$HX$13,11,FALSE)</f>
        <v>1</v>
      </c>
      <c r="AM112" s="46">
        <f>HLOOKUP(TBL_CalcDarwin[[#This Row],[Fecha]],'Plantilla AEG ES'!$E$1:$HX$13,12,FALSE)</f>
        <v>7</v>
      </c>
      <c r="AN112" s="46">
        <f>HLOOKUP(TBL_CalcDarwin[[#This Row],[Fecha]],'Plantilla AEG ES'!$E$1:$HX$13,13,FALSE)</f>
        <v>1</v>
      </c>
      <c r="AO112" s="37">
        <f>TBL_CalcDarwin[[#This Row],[Lomitas - Barra A - 5.2 - Cerro]]+TBL_CalcDarwin[[#This Row],[Lomitas - Barra A - 5.2 - Medio]]+TBL_CalcDarwin[[#This Row],[Lomitas - Barra A - 5.2 - Mar]]</f>
        <v>25</v>
      </c>
      <c r="AP1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119.44999999999999</v>
      </c>
      <c r="AR1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113.93599999999999</v>
      </c>
      <c r="AS112" s="37">
        <f>TBL_CalcDarwin[[#This Row],[Expansión - Barra A - 5.2 - Cerro]]+TBL_CalcDarwin[[#This Row],[Expansión - Barra A - 5.2 - Medio]]+TBL_CalcDarwin[[#This Row],[Expansión - Barra A - 5.2 - Mar]]</f>
        <v>2</v>
      </c>
      <c r="AT112" s="37">
        <f>TBL_CalcDarwin[[#This Row],[Expansión - Barra B - 5.2 - Cerro]]</f>
        <v>1</v>
      </c>
      <c r="AU1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8.8539999999999992</v>
      </c>
      <c r="AV112" s="29">
        <f>TBL_CalcDarwin[[#This Row],[Expansión - Barra B - 5.2 - Cerro]]*TBL_CalcDarwin[[#This Row],[AEG 5.2 MW Cerro]]</f>
        <v>3.8420000000000001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5">
        <f t="shared" si="6"/>
        <v>45588.624999999738</v>
      </c>
      <c r="C113" s="17">
        <f t="shared" si="10"/>
        <v>4.6249999999999982</v>
      </c>
      <c r="D113" s="34">
        <f>TBL_CalcDarwin[[#This Row],[Darwin PLOM
MW]]+TBL_CalcDarwin[[#This Row],[Darwin PLOME
MW]]</f>
        <v>250.33099999999999</v>
      </c>
      <c r="E113" s="34">
        <f>TBL_CalcDarwin[[#This Row],[PLOM MW TOTAL BARRA A]]+TBL_CalcDarwin[[#This Row],[PLOM MW TOTAL BARRA B]]</f>
        <v>236.73099999999999</v>
      </c>
      <c r="F113" s="34">
        <f>TBL_CalcDarwin[[#This Row],[PLOME MW TOTAL BARRA A]]+TBL_CalcDarwin[[#This Row],[PLOME MW TOTAL BARRA B]]</f>
        <v>13.599999999999998</v>
      </c>
      <c r="G113" s="48">
        <f>'Plantilla Datos'!D118</f>
        <v>10.7</v>
      </c>
      <c r="H113" s="48">
        <f>'Plantilla Datos'!E118</f>
        <v>13.2</v>
      </c>
      <c r="I113" s="49">
        <f>'Plantilla Datos'!F118</f>
        <v>19.2</v>
      </c>
      <c r="J113" s="47">
        <f>CEILING('Plantilla Datos'!$L$3*TBL_CalcDarwin[[#This Row],[Darwin Gusts
m/s]],0.5)</f>
        <v>10</v>
      </c>
      <c r="K113" s="47">
        <f>CEILING('Plantilla Datos'!$L$4*TBL_CalcDarwin[[#This Row],[Darwin Gusts
m/s]],0.5)</f>
        <v>11.5</v>
      </c>
      <c r="L113" s="47">
        <f>CEILING(TBL_CalcDarwin[[#This Row],[Darwin Gusts
m/s]],0.5)</f>
        <v>13.5</v>
      </c>
      <c r="M1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1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5.032</v>
      </c>
      <c r="P1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5.032</v>
      </c>
      <c r="Q113" s="41">
        <f>INDEX(Curva_Temp[Temp],MATCH(TBL_CalcDarwin[[#This Row],[Darwin Temp.
°C]],Curva_Temp[Temp]))</f>
        <v>15</v>
      </c>
      <c r="R113" s="41">
        <f>INDEX(Curva_Temp[Warranted Power Curve for 
1.194Kg/m3 air density '[kW']
SG 5.0-145 (AM+1, 5.2MW) AT 
90M],MATCH(TBL_CalcDarwin[[#This Row],[Darwin Temp.
°C]],Curva_Temp[Temp]))</f>
        <v>5200</v>
      </c>
      <c r="S113" s="41" cm="1">
        <f t="array" ref="S113">INDEX(Curva_Temp[Temp],MATCH(TBL_CalcDarwin[[#This Row],[Darwin Temp.
°C]],Curva_Temp[Temp])+1)</f>
        <v>20</v>
      </c>
      <c r="T113" s="41" cm="1">
        <f t="array" ref="T113">INDEX(Curva_Temp[Warranted Power Curve for 
1.194Kg/m3 air density '[kW']
SG 5.0-145 (AM+1, 5.2MW) AT 
90M],MATCH(TBL_CalcDarwin[[#This Row],[Darwin Temp.
°C]],Curva_Temp[Temp])+1)</f>
        <v>5000</v>
      </c>
      <c r="U1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13" s="41">
        <f>INDEX(Curva_Temp[Temp],MATCH(TBL_CalcDarwin[[#This Row],[Darwin Temp.
°C]],Curva_Temp[Temp]))</f>
        <v>15</v>
      </c>
      <c r="Z113" s="41">
        <f>INDEX(Curva_Temp[Warranted Power Curve for 
1.194Kg/m3 air density '[kW']
SG 5.0-145 (AM 0, 5.0MW) AT 
90M],MATCH(TBL_CalcDarwin[[#This Row],[Darwin Temp.
°C]],Curva_Temp[Temp]))</f>
        <v>5000</v>
      </c>
      <c r="AA113" s="41" cm="1">
        <f t="array" ref="AA113">INDEX(Curva_Temp[Temp],MATCH(TBL_CalcDarwin[[#This Row],[Darwin Temp.
°C]],Curva_Temp[Temp])+1)</f>
        <v>20</v>
      </c>
      <c r="AB113" s="41" cm="1">
        <f t="array" ref="AB113">INDEX(Curva_Temp[Warranted Power Curve for 
1.194Kg/m3 air density '[kW']
SG 5.0-145 (AM 0, 5.0MW) AT 
90M],MATCH(TBL_CalcDarwin[[#This Row],[Darwin Temp.
°C]],Curva_Temp[Temp])+1)</f>
        <v>5000</v>
      </c>
      <c r="AC113" s="45">
        <f>HLOOKUP(TBL_CalcDarwin[[#This Row],[Fecha]],'Plantilla AEG ES'!$E$1:$HX$13,2,FALSE)</f>
        <v>5</v>
      </c>
      <c r="AD113" s="45">
        <f>HLOOKUP(TBL_CalcDarwin[[#This Row],[Fecha]],'Plantilla AEG ES'!$E$1:$HX$13,3,FALSE)</f>
        <v>8</v>
      </c>
      <c r="AE113" s="45">
        <f>HLOOKUP(TBL_CalcDarwin[[#This Row],[Fecha]],'Plantilla AEG ES'!$E$1:$HX$13,4,FALSE)</f>
        <v>12</v>
      </c>
      <c r="AF113" s="45">
        <f>HLOOKUP(TBL_CalcDarwin[[#This Row],[Fecha]],'Plantilla AEG ES'!$E$1:$HX$13,5,FALSE)</f>
        <v>1</v>
      </c>
      <c r="AG113" s="45">
        <f>HLOOKUP(TBL_CalcDarwin[[#This Row],[Fecha]],'Plantilla AEG ES'!$E$1:$HX$13,6,FALSE)</f>
        <v>1</v>
      </c>
      <c r="AH113" s="45">
        <f>HLOOKUP(TBL_CalcDarwin[[#This Row],[Fecha]],'Plantilla AEG ES'!$E$1:$HX$13,7,FALSE)</f>
        <v>0</v>
      </c>
      <c r="AI113" s="46">
        <f>HLOOKUP(TBL_CalcDarwin[[#This Row],[Fecha]],'Plantilla AEG ES'!$E$1:$HX$13,8,FALSE)</f>
        <v>0</v>
      </c>
      <c r="AJ113" s="46">
        <f>HLOOKUP(TBL_CalcDarwin[[#This Row],[Fecha]],'Plantilla AEG ES'!$E$1:$HX$13,9,FALSE)</f>
        <v>3</v>
      </c>
      <c r="AK113" s="46">
        <f>HLOOKUP(TBL_CalcDarwin[[#This Row],[Fecha]],'Plantilla AEG ES'!$E$1:$HX$13,10,FALSE)</f>
        <v>12</v>
      </c>
      <c r="AL113" s="46">
        <f>HLOOKUP(TBL_CalcDarwin[[#This Row],[Fecha]],'Plantilla AEG ES'!$E$1:$HX$13,11,FALSE)</f>
        <v>1</v>
      </c>
      <c r="AM113" s="46">
        <f>HLOOKUP(TBL_CalcDarwin[[#This Row],[Fecha]],'Plantilla AEG ES'!$E$1:$HX$13,12,FALSE)</f>
        <v>7</v>
      </c>
      <c r="AN113" s="46">
        <f>HLOOKUP(TBL_CalcDarwin[[#This Row],[Fecha]],'Plantilla AEG ES'!$E$1:$HX$13,13,FALSE)</f>
        <v>1</v>
      </c>
      <c r="AO113" s="37">
        <f>TBL_CalcDarwin[[#This Row],[Lomitas - Barra A - 5.2 - Cerro]]+TBL_CalcDarwin[[#This Row],[Lomitas - Barra A - 5.2 - Medio]]+TBL_CalcDarwin[[#This Row],[Lomitas - Barra A - 5.2 - Mar]]</f>
        <v>25</v>
      </c>
      <c r="AP1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122.06</v>
      </c>
      <c r="AR1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114.67100000000001</v>
      </c>
      <c r="AS113" s="37">
        <f>TBL_CalcDarwin[[#This Row],[Expansión - Barra A - 5.2 - Cerro]]+TBL_CalcDarwin[[#This Row],[Expansión - Barra A - 5.2 - Medio]]+TBL_CalcDarwin[[#This Row],[Expansión - Barra A - 5.2 - Mar]]</f>
        <v>2</v>
      </c>
      <c r="AT113" s="37">
        <f>TBL_CalcDarwin[[#This Row],[Expansión - Barra B - 5.2 - Cerro]]</f>
        <v>1</v>
      </c>
      <c r="AU1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9.3159999999999989</v>
      </c>
      <c r="AV113" s="29">
        <f>TBL_CalcDarwin[[#This Row],[Expansión - Barra B - 5.2 - Cerro]]*TBL_CalcDarwin[[#This Row],[AEG 5.2 MW Cerro]]</f>
        <v>4.2839999999999998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5">
        <f t="shared" si="6"/>
        <v>45588.666666666402</v>
      </c>
      <c r="C114" s="17">
        <f t="shared" si="10"/>
        <v>4.6666666666666652</v>
      </c>
      <c r="D114" s="34">
        <f>TBL_CalcDarwin[[#This Row],[Darwin PLOM
MW]]+TBL_CalcDarwin[[#This Row],[Darwin PLOME
MW]]</f>
        <v>251.05099999999999</v>
      </c>
      <c r="E114" s="34">
        <f>TBL_CalcDarwin[[#This Row],[PLOM MW TOTAL BARRA A]]+TBL_CalcDarwin[[#This Row],[PLOM MW TOTAL BARRA B]]</f>
        <v>237.43099999999998</v>
      </c>
      <c r="F114" s="34">
        <f>TBL_CalcDarwin[[#This Row],[PLOME MW TOTAL BARRA A]]+TBL_CalcDarwin[[#This Row],[PLOME MW TOTAL BARRA B]]</f>
        <v>13.619999999999997</v>
      </c>
      <c r="G114" s="48">
        <f>'Plantilla Datos'!D119</f>
        <v>10.8</v>
      </c>
      <c r="H114" s="48">
        <f>'Plantilla Datos'!E119</f>
        <v>13.4</v>
      </c>
      <c r="I114" s="49">
        <f>'Plantilla Datos'!F119</f>
        <v>18.7</v>
      </c>
      <c r="J114" s="47">
        <f>CEILING('Plantilla Datos'!$L$3*TBL_CalcDarwin[[#This Row],[Darwin Gusts
m/s]],0.5)</f>
        <v>10</v>
      </c>
      <c r="K114" s="47">
        <f>CEILING('Plantilla Datos'!$L$4*TBL_CalcDarwin[[#This Row],[Darwin Gusts
m/s]],0.5)</f>
        <v>11.5</v>
      </c>
      <c r="L114" s="47">
        <f>CEILING(TBL_CalcDarwin[[#This Row],[Darwin Gusts
m/s]],0.5)</f>
        <v>13.5</v>
      </c>
      <c r="M1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1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5.0519999999999996</v>
      </c>
      <c r="P1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5.0519999999999996</v>
      </c>
      <c r="Q114" s="41">
        <f>INDEX(Curva_Temp[Temp],MATCH(TBL_CalcDarwin[[#This Row],[Darwin Temp.
°C]],Curva_Temp[Temp]))</f>
        <v>15</v>
      </c>
      <c r="R114" s="41">
        <f>INDEX(Curva_Temp[Warranted Power Curve for 
1.194Kg/m3 air density '[kW']
SG 5.0-145 (AM+1, 5.2MW) AT 
90M],MATCH(TBL_CalcDarwin[[#This Row],[Darwin Temp.
°C]],Curva_Temp[Temp]))</f>
        <v>5200</v>
      </c>
      <c r="S114" s="41" cm="1">
        <f t="array" ref="S114">INDEX(Curva_Temp[Temp],MATCH(TBL_CalcDarwin[[#This Row],[Darwin Temp.
°C]],Curva_Temp[Temp])+1)</f>
        <v>20</v>
      </c>
      <c r="T114" s="41" cm="1">
        <f t="array" ref="T114">INDEX(Curva_Temp[Warranted Power Curve for 
1.194Kg/m3 air density '[kW']
SG 5.0-145 (AM+1, 5.2MW) AT 
90M],MATCH(TBL_CalcDarwin[[#This Row],[Darwin Temp.
°C]],Curva_Temp[Temp])+1)</f>
        <v>5000</v>
      </c>
      <c r="U1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14" s="41">
        <f>INDEX(Curva_Temp[Temp],MATCH(TBL_CalcDarwin[[#This Row],[Darwin Temp.
°C]],Curva_Temp[Temp]))</f>
        <v>15</v>
      </c>
      <c r="Z114" s="41">
        <f>INDEX(Curva_Temp[Warranted Power Curve for 
1.194Kg/m3 air density '[kW']
SG 5.0-145 (AM 0, 5.0MW) AT 
90M],MATCH(TBL_CalcDarwin[[#This Row],[Darwin Temp.
°C]],Curva_Temp[Temp]))</f>
        <v>5000</v>
      </c>
      <c r="AA114" s="41" cm="1">
        <f t="array" ref="AA114">INDEX(Curva_Temp[Temp],MATCH(TBL_CalcDarwin[[#This Row],[Darwin Temp.
°C]],Curva_Temp[Temp])+1)</f>
        <v>20</v>
      </c>
      <c r="AB114" s="41" cm="1">
        <f t="array" ref="AB114">INDEX(Curva_Temp[Warranted Power Curve for 
1.194Kg/m3 air density '[kW']
SG 5.0-145 (AM 0, 5.0MW) AT 
90M],MATCH(TBL_CalcDarwin[[#This Row],[Darwin Temp.
°C]],Curva_Temp[Temp])+1)</f>
        <v>5000</v>
      </c>
      <c r="AC114" s="45">
        <f>HLOOKUP(TBL_CalcDarwin[[#This Row],[Fecha]],'Plantilla AEG ES'!$E$1:$HX$13,2,FALSE)</f>
        <v>5</v>
      </c>
      <c r="AD114" s="45">
        <f>HLOOKUP(TBL_CalcDarwin[[#This Row],[Fecha]],'Plantilla AEG ES'!$E$1:$HX$13,3,FALSE)</f>
        <v>8</v>
      </c>
      <c r="AE114" s="45">
        <f>HLOOKUP(TBL_CalcDarwin[[#This Row],[Fecha]],'Plantilla AEG ES'!$E$1:$HX$13,4,FALSE)</f>
        <v>12</v>
      </c>
      <c r="AF114" s="45">
        <f>HLOOKUP(TBL_CalcDarwin[[#This Row],[Fecha]],'Plantilla AEG ES'!$E$1:$HX$13,5,FALSE)</f>
        <v>1</v>
      </c>
      <c r="AG114" s="45">
        <f>HLOOKUP(TBL_CalcDarwin[[#This Row],[Fecha]],'Plantilla AEG ES'!$E$1:$HX$13,6,FALSE)</f>
        <v>1</v>
      </c>
      <c r="AH114" s="45">
        <f>HLOOKUP(TBL_CalcDarwin[[#This Row],[Fecha]],'Plantilla AEG ES'!$E$1:$HX$13,7,FALSE)</f>
        <v>0</v>
      </c>
      <c r="AI114" s="46">
        <f>HLOOKUP(TBL_CalcDarwin[[#This Row],[Fecha]],'Plantilla AEG ES'!$E$1:$HX$13,8,FALSE)</f>
        <v>0</v>
      </c>
      <c r="AJ114" s="46">
        <f>HLOOKUP(TBL_CalcDarwin[[#This Row],[Fecha]],'Plantilla AEG ES'!$E$1:$HX$13,9,FALSE)</f>
        <v>3</v>
      </c>
      <c r="AK114" s="46">
        <f>HLOOKUP(TBL_CalcDarwin[[#This Row],[Fecha]],'Plantilla AEG ES'!$E$1:$HX$13,10,FALSE)</f>
        <v>12</v>
      </c>
      <c r="AL114" s="46">
        <f>HLOOKUP(TBL_CalcDarwin[[#This Row],[Fecha]],'Plantilla AEG ES'!$E$1:$HX$13,11,FALSE)</f>
        <v>1</v>
      </c>
      <c r="AM114" s="46">
        <f>HLOOKUP(TBL_CalcDarwin[[#This Row],[Fecha]],'Plantilla AEG ES'!$E$1:$HX$13,12,FALSE)</f>
        <v>7</v>
      </c>
      <c r="AN114" s="46">
        <f>HLOOKUP(TBL_CalcDarwin[[#This Row],[Fecha]],'Plantilla AEG ES'!$E$1:$HX$13,13,FALSE)</f>
        <v>1</v>
      </c>
      <c r="AO114" s="37">
        <f>TBL_CalcDarwin[[#This Row],[Lomitas - Barra A - 5.2 - Cerro]]+TBL_CalcDarwin[[#This Row],[Lomitas - Barra A - 5.2 - Medio]]+TBL_CalcDarwin[[#This Row],[Lomitas - Barra A - 5.2 - Mar]]</f>
        <v>25</v>
      </c>
      <c r="AP1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122.46</v>
      </c>
      <c r="AR1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114.971</v>
      </c>
      <c r="AS114" s="37">
        <f>TBL_CalcDarwin[[#This Row],[Expansión - Barra A - 5.2 - Cerro]]+TBL_CalcDarwin[[#This Row],[Expansión - Barra A - 5.2 - Medio]]+TBL_CalcDarwin[[#This Row],[Expansión - Barra A - 5.2 - Mar]]</f>
        <v>2</v>
      </c>
      <c r="AT114" s="37">
        <f>TBL_CalcDarwin[[#This Row],[Expansión - Barra B - 5.2 - Cerro]]</f>
        <v>1</v>
      </c>
      <c r="AU1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9.3359999999999985</v>
      </c>
      <c r="AV114" s="29">
        <f>TBL_CalcDarwin[[#This Row],[Expansión - Barra B - 5.2 - Cerro]]*TBL_CalcDarwin[[#This Row],[AEG 5.2 MW Cerro]]</f>
        <v>4.2839999999999998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5">
        <f t="shared" si="6"/>
        <v>45588.708333333067</v>
      </c>
      <c r="C115" s="17">
        <f t="shared" si="10"/>
        <v>4.7083333333333321</v>
      </c>
      <c r="D115" s="34">
        <f>TBL_CalcDarwin[[#This Row],[Darwin PLOM
MW]]+TBL_CalcDarwin[[#This Row],[Darwin PLOME
MW]]</f>
        <v>251.91499999999996</v>
      </c>
      <c r="E115" s="34">
        <f>TBL_CalcDarwin[[#This Row],[PLOM MW TOTAL BARRA A]]+TBL_CalcDarwin[[#This Row],[PLOM MW TOTAL BARRA B]]</f>
        <v>238.27099999999996</v>
      </c>
      <c r="F115" s="34">
        <f>TBL_CalcDarwin[[#This Row],[PLOME MW TOTAL BARRA A]]+TBL_CalcDarwin[[#This Row],[PLOME MW TOTAL BARRA B]]</f>
        <v>13.643999999999998</v>
      </c>
      <c r="G115" s="48">
        <f>'Plantilla Datos'!D120</f>
        <v>10.7</v>
      </c>
      <c r="H115" s="48">
        <f>'Plantilla Datos'!E120</f>
        <v>13.2</v>
      </c>
      <c r="I115" s="49">
        <f>'Plantilla Datos'!F120</f>
        <v>18.100000000000001</v>
      </c>
      <c r="J115" s="47">
        <f>CEILING('Plantilla Datos'!$L$3*TBL_CalcDarwin[[#This Row],[Darwin Gusts
m/s]],0.5)</f>
        <v>10</v>
      </c>
      <c r="K115" s="47">
        <f>CEILING('Plantilla Datos'!$L$4*TBL_CalcDarwin[[#This Row],[Darwin Gusts
m/s]],0.5)</f>
        <v>11.5</v>
      </c>
      <c r="L115" s="47">
        <f>CEILING(TBL_CalcDarwin[[#This Row],[Darwin Gusts
m/s]],0.5)</f>
        <v>13.5</v>
      </c>
      <c r="M1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1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5.0759999999999996</v>
      </c>
      <c r="P1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5.0759999999999996</v>
      </c>
      <c r="Q115" s="41">
        <f>INDEX(Curva_Temp[Temp],MATCH(TBL_CalcDarwin[[#This Row],[Darwin Temp.
°C]],Curva_Temp[Temp]))</f>
        <v>15</v>
      </c>
      <c r="R115" s="41">
        <f>INDEX(Curva_Temp[Warranted Power Curve for 
1.194Kg/m3 air density '[kW']
SG 5.0-145 (AM+1, 5.2MW) AT 
90M],MATCH(TBL_CalcDarwin[[#This Row],[Darwin Temp.
°C]],Curva_Temp[Temp]))</f>
        <v>5200</v>
      </c>
      <c r="S115" s="41" cm="1">
        <f t="array" ref="S115">INDEX(Curva_Temp[Temp],MATCH(TBL_CalcDarwin[[#This Row],[Darwin Temp.
°C]],Curva_Temp[Temp])+1)</f>
        <v>20</v>
      </c>
      <c r="T115" s="41" cm="1">
        <f t="array" ref="T115">INDEX(Curva_Temp[Warranted Power Curve for 
1.194Kg/m3 air density '[kW']
SG 5.0-145 (AM+1, 5.2MW) AT 
90M],MATCH(TBL_CalcDarwin[[#This Row],[Darwin Temp.
°C]],Curva_Temp[Temp])+1)</f>
        <v>5000</v>
      </c>
      <c r="U1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15" s="41">
        <f>INDEX(Curva_Temp[Temp],MATCH(TBL_CalcDarwin[[#This Row],[Darwin Temp.
°C]],Curva_Temp[Temp]))</f>
        <v>15</v>
      </c>
      <c r="Z115" s="41">
        <f>INDEX(Curva_Temp[Warranted Power Curve for 
1.194Kg/m3 air density '[kW']
SG 5.0-145 (AM 0, 5.0MW) AT 
90M],MATCH(TBL_CalcDarwin[[#This Row],[Darwin Temp.
°C]],Curva_Temp[Temp]))</f>
        <v>5000</v>
      </c>
      <c r="AA115" s="41" cm="1">
        <f t="array" ref="AA115">INDEX(Curva_Temp[Temp],MATCH(TBL_CalcDarwin[[#This Row],[Darwin Temp.
°C]],Curva_Temp[Temp])+1)</f>
        <v>20</v>
      </c>
      <c r="AB115" s="41" cm="1">
        <f t="array" ref="AB115">INDEX(Curva_Temp[Warranted Power Curve for 
1.194Kg/m3 air density '[kW']
SG 5.0-145 (AM 0, 5.0MW) AT 
90M],MATCH(TBL_CalcDarwin[[#This Row],[Darwin Temp.
°C]],Curva_Temp[Temp])+1)</f>
        <v>5000</v>
      </c>
      <c r="AC115" s="45">
        <f>HLOOKUP(TBL_CalcDarwin[[#This Row],[Fecha]],'Plantilla AEG ES'!$E$1:$HX$13,2,FALSE)</f>
        <v>5</v>
      </c>
      <c r="AD115" s="45">
        <f>HLOOKUP(TBL_CalcDarwin[[#This Row],[Fecha]],'Plantilla AEG ES'!$E$1:$HX$13,3,FALSE)</f>
        <v>8</v>
      </c>
      <c r="AE115" s="45">
        <f>HLOOKUP(TBL_CalcDarwin[[#This Row],[Fecha]],'Plantilla AEG ES'!$E$1:$HX$13,4,FALSE)</f>
        <v>12</v>
      </c>
      <c r="AF115" s="45">
        <f>HLOOKUP(TBL_CalcDarwin[[#This Row],[Fecha]],'Plantilla AEG ES'!$E$1:$HX$13,5,FALSE)</f>
        <v>1</v>
      </c>
      <c r="AG115" s="45">
        <f>HLOOKUP(TBL_CalcDarwin[[#This Row],[Fecha]],'Plantilla AEG ES'!$E$1:$HX$13,6,FALSE)</f>
        <v>1</v>
      </c>
      <c r="AH115" s="45">
        <f>HLOOKUP(TBL_CalcDarwin[[#This Row],[Fecha]],'Plantilla AEG ES'!$E$1:$HX$13,7,FALSE)</f>
        <v>0</v>
      </c>
      <c r="AI115" s="46">
        <f>HLOOKUP(TBL_CalcDarwin[[#This Row],[Fecha]],'Plantilla AEG ES'!$E$1:$HX$13,8,FALSE)</f>
        <v>0</v>
      </c>
      <c r="AJ115" s="46">
        <f>HLOOKUP(TBL_CalcDarwin[[#This Row],[Fecha]],'Plantilla AEG ES'!$E$1:$HX$13,9,FALSE)</f>
        <v>3</v>
      </c>
      <c r="AK115" s="46">
        <f>HLOOKUP(TBL_CalcDarwin[[#This Row],[Fecha]],'Plantilla AEG ES'!$E$1:$HX$13,10,FALSE)</f>
        <v>12</v>
      </c>
      <c r="AL115" s="46">
        <f>HLOOKUP(TBL_CalcDarwin[[#This Row],[Fecha]],'Plantilla AEG ES'!$E$1:$HX$13,11,FALSE)</f>
        <v>1</v>
      </c>
      <c r="AM115" s="46">
        <f>HLOOKUP(TBL_CalcDarwin[[#This Row],[Fecha]],'Plantilla AEG ES'!$E$1:$HX$13,12,FALSE)</f>
        <v>7</v>
      </c>
      <c r="AN115" s="46">
        <f>HLOOKUP(TBL_CalcDarwin[[#This Row],[Fecha]],'Plantilla AEG ES'!$E$1:$HX$13,13,FALSE)</f>
        <v>1</v>
      </c>
      <c r="AO115" s="37">
        <f>TBL_CalcDarwin[[#This Row],[Lomitas - Barra A - 5.2 - Cerro]]+TBL_CalcDarwin[[#This Row],[Lomitas - Barra A - 5.2 - Medio]]+TBL_CalcDarwin[[#This Row],[Lomitas - Barra A - 5.2 - Mar]]</f>
        <v>25</v>
      </c>
      <c r="AP1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122.93999999999998</v>
      </c>
      <c r="AR1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115.33099999999999</v>
      </c>
      <c r="AS115" s="37">
        <f>TBL_CalcDarwin[[#This Row],[Expansión - Barra A - 5.2 - Cerro]]+TBL_CalcDarwin[[#This Row],[Expansión - Barra A - 5.2 - Medio]]+TBL_CalcDarwin[[#This Row],[Expansión - Barra A - 5.2 - Mar]]</f>
        <v>2</v>
      </c>
      <c r="AT115" s="37">
        <f>TBL_CalcDarwin[[#This Row],[Expansión - Barra B - 5.2 - Cerro]]</f>
        <v>1</v>
      </c>
      <c r="AU1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9.36</v>
      </c>
      <c r="AV115" s="29">
        <f>TBL_CalcDarwin[[#This Row],[Expansión - Barra B - 5.2 - Cerro]]*TBL_CalcDarwin[[#This Row],[AEG 5.2 MW Cerro]]</f>
        <v>4.2839999999999998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5">
        <f t="shared" si="6"/>
        <v>45588.749999999731</v>
      </c>
      <c r="C116" s="17">
        <f t="shared" si="10"/>
        <v>4.7499999999999991</v>
      </c>
      <c r="D116" s="34">
        <f>TBL_CalcDarwin[[#This Row],[Darwin PLOM
MW]]+TBL_CalcDarwin[[#This Row],[Darwin PLOME
MW]]</f>
        <v>249.39400000000001</v>
      </c>
      <c r="E116" s="34">
        <f>TBL_CalcDarwin[[#This Row],[PLOM MW TOTAL BARRA A]]+TBL_CalcDarwin[[#This Row],[PLOM MW TOTAL BARRA B]]</f>
        <v>236.60599999999999</v>
      </c>
      <c r="F116" s="34">
        <f>TBL_CalcDarwin[[#This Row],[PLOME MW TOTAL BARRA A]]+TBL_CalcDarwin[[#This Row],[PLOME MW TOTAL BARRA B]]</f>
        <v>12.788</v>
      </c>
      <c r="G116" s="48">
        <f>'Plantilla Datos'!D121</f>
        <v>10.5</v>
      </c>
      <c r="H116" s="48">
        <f>'Plantilla Datos'!E121</f>
        <v>13</v>
      </c>
      <c r="I116" s="49">
        <f>'Plantilla Datos'!F121</f>
        <v>17.399999999999999</v>
      </c>
      <c r="J116" s="47">
        <f>CEILING('Plantilla Datos'!$L$3*TBL_CalcDarwin[[#This Row],[Darwin Gusts
m/s]],0.5)</f>
        <v>9.5</v>
      </c>
      <c r="K116" s="47">
        <f>CEILING('Plantilla Datos'!$L$4*TBL_CalcDarwin[[#This Row],[Darwin Gusts
m/s]],0.5)</f>
        <v>11.5</v>
      </c>
      <c r="L116" s="47">
        <f>CEILING(TBL_CalcDarwin[[#This Row],[Darwin Gusts
m/s]],0.5)</f>
        <v>13</v>
      </c>
      <c r="M1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5.1040000000000001</v>
      </c>
      <c r="P1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5.1040000000000001</v>
      </c>
      <c r="Q116" s="41">
        <f>INDEX(Curva_Temp[Temp],MATCH(TBL_CalcDarwin[[#This Row],[Darwin Temp.
°C]],Curva_Temp[Temp]))</f>
        <v>15</v>
      </c>
      <c r="R116" s="41">
        <f>INDEX(Curva_Temp[Warranted Power Curve for 
1.194Kg/m3 air density '[kW']
SG 5.0-145 (AM+1, 5.2MW) AT 
90M],MATCH(TBL_CalcDarwin[[#This Row],[Darwin Temp.
°C]],Curva_Temp[Temp]))</f>
        <v>5200</v>
      </c>
      <c r="S116" s="41" cm="1">
        <f t="array" ref="S116">INDEX(Curva_Temp[Temp],MATCH(TBL_CalcDarwin[[#This Row],[Darwin Temp.
°C]],Curva_Temp[Temp])+1)</f>
        <v>20</v>
      </c>
      <c r="T116" s="41" cm="1">
        <f t="array" ref="T116">INDEX(Curva_Temp[Warranted Power Curve for 
1.194Kg/m3 air density '[kW']
SG 5.0-145 (AM+1, 5.2MW) AT 
90M],MATCH(TBL_CalcDarwin[[#This Row],[Darwin Temp.
°C]],Curva_Temp[Temp])+1)</f>
        <v>5000</v>
      </c>
      <c r="U1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16" s="41">
        <f>INDEX(Curva_Temp[Temp],MATCH(TBL_CalcDarwin[[#This Row],[Darwin Temp.
°C]],Curva_Temp[Temp]))</f>
        <v>15</v>
      </c>
      <c r="Z116" s="41">
        <f>INDEX(Curva_Temp[Warranted Power Curve for 
1.194Kg/m3 air density '[kW']
SG 5.0-145 (AM 0, 5.0MW) AT 
90M],MATCH(TBL_CalcDarwin[[#This Row],[Darwin Temp.
°C]],Curva_Temp[Temp]))</f>
        <v>5000</v>
      </c>
      <c r="AA116" s="41" cm="1">
        <f t="array" ref="AA116">INDEX(Curva_Temp[Temp],MATCH(TBL_CalcDarwin[[#This Row],[Darwin Temp.
°C]],Curva_Temp[Temp])+1)</f>
        <v>20</v>
      </c>
      <c r="AB116" s="41" cm="1">
        <f t="array" ref="AB116">INDEX(Curva_Temp[Warranted Power Curve for 
1.194Kg/m3 air density '[kW']
SG 5.0-145 (AM 0, 5.0MW) AT 
90M],MATCH(TBL_CalcDarwin[[#This Row],[Darwin Temp.
°C]],Curva_Temp[Temp])+1)</f>
        <v>5000</v>
      </c>
      <c r="AC116" s="45">
        <f>HLOOKUP(TBL_CalcDarwin[[#This Row],[Fecha]],'Plantilla AEG ES'!$E$1:$HX$13,2,FALSE)</f>
        <v>5</v>
      </c>
      <c r="AD116" s="45">
        <f>HLOOKUP(TBL_CalcDarwin[[#This Row],[Fecha]],'Plantilla AEG ES'!$E$1:$HX$13,3,FALSE)</f>
        <v>8</v>
      </c>
      <c r="AE116" s="45">
        <f>HLOOKUP(TBL_CalcDarwin[[#This Row],[Fecha]],'Plantilla AEG ES'!$E$1:$HX$13,4,FALSE)</f>
        <v>12</v>
      </c>
      <c r="AF116" s="45">
        <f>HLOOKUP(TBL_CalcDarwin[[#This Row],[Fecha]],'Plantilla AEG ES'!$E$1:$HX$13,5,FALSE)</f>
        <v>1</v>
      </c>
      <c r="AG116" s="45">
        <f>HLOOKUP(TBL_CalcDarwin[[#This Row],[Fecha]],'Plantilla AEG ES'!$E$1:$HX$13,6,FALSE)</f>
        <v>1</v>
      </c>
      <c r="AH116" s="45">
        <f>HLOOKUP(TBL_CalcDarwin[[#This Row],[Fecha]],'Plantilla AEG ES'!$E$1:$HX$13,7,FALSE)</f>
        <v>0</v>
      </c>
      <c r="AI116" s="46">
        <f>HLOOKUP(TBL_CalcDarwin[[#This Row],[Fecha]],'Plantilla AEG ES'!$E$1:$HX$13,8,FALSE)</f>
        <v>0</v>
      </c>
      <c r="AJ116" s="46">
        <f>HLOOKUP(TBL_CalcDarwin[[#This Row],[Fecha]],'Plantilla AEG ES'!$E$1:$HX$13,9,FALSE)</f>
        <v>3</v>
      </c>
      <c r="AK116" s="46">
        <f>HLOOKUP(TBL_CalcDarwin[[#This Row],[Fecha]],'Plantilla AEG ES'!$E$1:$HX$13,10,FALSE)</f>
        <v>12</v>
      </c>
      <c r="AL116" s="46">
        <f>HLOOKUP(TBL_CalcDarwin[[#This Row],[Fecha]],'Plantilla AEG ES'!$E$1:$HX$13,11,FALSE)</f>
        <v>1</v>
      </c>
      <c r="AM116" s="46">
        <f>HLOOKUP(TBL_CalcDarwin[[#This Row],[Fecha]],'Plantilla AEG ES'!$E$1:$HX$13,12,FALSE)</f>
        <v>7</v>
      </c>
      <c r="AN116" s="46">
        <f>HLOOKUP(TBL_CalcDarwin[[#This Row],[Fecha]],'Plantilla AEG ES'!$E$1:$HX$13,13,FALSE)</f>
        <v>1</v>
      </c>
      <c r="AO116" s="37">
        <f>TBL_CalcDarwin[[#This Row],[Lomitas - Barra A - 5.2 - Cerro]]+TBL_CalcDarwin[[#This Row],[Lomitas - Barra A - 5.2 - Medio]]+TBL_CalcDarwin[[#This Row],[Lomitas - Barra A - 5.2 - Mar]]</f>
        <v>25</v>
      </c>
      <c r="AP1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121.29</v>
      </c>
      <c r="AR1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115.316</v>
      </c>
      <c r="AS116" s="37">
        <f>TBL_CalcDarwin[[#This Row],[Expansión - Barra A - 5.2 - Cerro]]+TBL_CalcDarwin[[#This Row],[Expansión - Barra A - 5.2 - Medio]]+TBL_CalcDarwin[[#This Row],[Expansión - Barra A - 5.2 - Mar]]</f>
        <v>2</v>
      </c>
      <c r="AT116" s="37">
        <f>TBL_CalcDarwin[[#This Row],[Expansión - Barra B - 5.2 - Cerro]]</f>
        <v>1</v>
      </c>
      <c r="AU1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8.9459999999999997</v>
      </c>
      <c r="AV116" s="29">
        <f>TBL_CalcDarwin[[#This Row],[Expansión - Barra B - 5.2 - Cerro]]*TBL_CalcDarwin[[#This Row],[AEG 5.2 MW Cerro]]</f>
        <v>3.8420000000000001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5">
        <f t="shared" si="6"/>
        <v>45588.791666666395</v>
      </c>
      <c r="C117" s="17">
        <f t="shared" si="10"/>
        <v>4.7916666666666661</v>
      </c>
      <c r="D117" s="34">
        <f>TBL_CalcDarwin[[#This Row],[Darwin PLOM
MW]]+TBL_CalcDarwin[[#This Row],[Darwin PLOME
MW]]</f>
        <v>248.38600000000002</v>
      </c>
      <c r="E117" s="34">
        <f>TBL_CalcDarwin[[#This Row],[PLOM MW TOTAL BARRA A]]+TBL_CalcDarwin[[#This Row],[PLOM MW TOTAL BARRA B]]</f>
        <v>235.74600000000001</v>
      </c>
      <c r="F117" s="34">
        <f>TBL_CalcDarwin[[#This Row],[PLOME MW TOTAL BARRA A]]+TBL_CalcDarwin[[#This Row],[PLOME MW TOTAL BARRA B]]</f>
        <v>12.64</v>
      </c>
      <c r="G117" s="48">
        <f>'Plantilla Datos'!D122</f>
        <v>10.3</v>
      </c>
      <c r="H117" s="48">
        <f>'Plantilla Datos'!E122</f>
        <v>12.8</v>
      </c>
      <c r="I117" s="49">
        <f>'Plantilla Datos'!F122</f>
        <v>16.600000000000001</v>
      </c>
      <c r="J117" s="47">
        <f>CEILING('Plantilla Datos'!$L$3*TBL_CalcDarwin[[#This Row],[Darwin Gusts
m/s]],0.5)</f>
        <v>9.5</v>
      </c>
      <c r="K117" s="47">
        <f>CEILING('Plantilla Datos'!$L$4*TBL_CalcDarwin[[#This Row],[Darwin Gusts
m/s]],0.5)</f>
        <v>11</v>
      </c>
      <c r="L117" s="47">
        <f>CEILING(TBL_CalcDarwin[[#This Row],[Darwin Gusts
m/s]],0.5)</f>
        <v>13</v>
      </c>
      <c r="M1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5.1360000000000001</v>
      </c>
      <c r="Q117" s="41">
        <f>INDEX(Curva_Temp[Temp],MATCH(TBL_CalcDarwin[[#This Row],[Darwin Temp.
°C]],Curva_Temp[Temp]))</f>
        <v>15</v>
      </c>
      <c r="R117" s="41">
        <f>INDEX(Curva_Temp[Warranted Power Curve for 
1.194Kg/m3 air density '[kW']
SG 5.0-145 (AM+1, 5.2MW) AT 
90M],MATCH(TBL_CalcDarwin[[#This Row],[Darwin Temp.
°C]],Curva_Temp[Temp]))</f>
        <v>5200</v>
      </c>
      <c r="S117" s="41" cm="1">
        <f t="array" ref="S117">INDEX(Curva_Temp[Temp],MATCH(TBL_CalcDarwin[[#This Row],[Darwin Temp.
°C]],Curva_Temp[Temp])+1)</f>
        <v>20</v>
      </c>
      <c r="T117" s="41" cm="1">
        <f t="array" ref="T117">INDEX(Curva_Temp[Warranted Power Curve for 
1.194Kg/m3 air density '[kW']
SG 5.0-145 (AM+1, 5.2MW) AT 
90M],MATCH(TBL_CalcDarwin[[#This Row],[Darwin Temp.
°C]],Curva_Temp[Temp])+1)</f>
        <v>5000</v>
      </c>
      <c r="U1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17" s="41">
        <f>INDEX(Curva_Temp[Temp],MATCH(TBL_CalcDarwin[[#This Row],[Darwin Temp.
°C]],Curva_Temp[Temp]))</f>
        <v>15</v>
      </c>
      <c r="Z117" s="41">
        <f>INDEX(Curva_Temp[Warranted Power Curve for 
1.194Kg/m3 air density '[kW']
SG 5.0-145 (AM 0, 5.0MW) AT 
90M],MATCH(TBL_CalcDarwin[[#This Row],[Darwin Temp.
°C]],Curva_Temp[Temp]))</f>
        <v>5000</v>
      </c>
      <c r="AA117" s="41" cm="1">
        <f t="array" ref="AA117">INDEX(Curva_Temp[Temp],MATCH(TBL_CalcDarwin[[#This Row],[Darwin Temp.
°C]],Curva_Temp[Temp])+1)</f>
        <v>20</v>
      </c>
      <c r="AB117" s="41" cm="1">
        <f t="array" ref="AB117">INDEX(Curva_Temp[Warranted Power Curve for 
1.194Kg/m3 air density '[kW']
SG 5.0-145 (AM 0, 5.0MW) AT 
90M],MATCH(TBL_CalcDarwin[[#This Row],[Darwin Temp.
°C]],Curva_Temp[Temp])+1)</f>
        <v>5000</v>
      </c>
      <c r="AC117" s="45">
        <f>HLOOKUP(TBL_CalcDarwin[[#This Row],[Fecha]],'Plantilla AEG ES'!$E$1:$HX$13,2,FALSE)</f>
        <v>5</v>
      </c>
      <c r="AD117" s="45">
        <f>HLOOKUP(TBL_CalcDarwin[[#This Row],[Fecha]],'Plantilla AEG ES'!$E$1:$HX$13,3,FALSE)</f>
        <v>8</v>
      </c>
      <c r="AE117" s="45">
        <f>HLOOKUP(TBL_CalcDarwin[[#This Row],[Fecha]],'Plantilla AEG ES'!$E$1:$HX$13,4,FALSE)</f>
        <v>12</v>
      </c>
      <c r="AF117" s="45">
        <f>HLOOKUP(TBL_CalcDarwin[[#This Row],[Fecha]],'Plantilla AEG ES'!$E$1:$HX$13,5,FALSE)</f>
        <v>1</v>
      </c>
      <c r="AG117" s="45">
        <f>HLOOKUP(TBL_CalcDarwin[[#This Row],[Fecha]],'Plantilla AEG ES'!$E$1:$HX$13,6,FALSE)</f>
        <v>1</v>
      </c>
      <c r="AH117" s="45">
        <f>HLOOKUP(TBL_CalcDarwin[[#This Row],[Fecha]],'Plantilla AEG ES'!$E$1:$HX$13,7,FALSE)</f>
        <v>0</v>
      </c>
      <c r="AI117" s="46">
        <f>HLOOKUP(TBL_CalcDarwin[[#This Row],[Fecha]],'Plantilla AEG ES'!$E$1:$HX$13,8,FALSE)</f>
        <v>0</v>
      </c>
      <c r="AJ117" s="46">
        <f>HLOOKUP(TBL_CalcDarwin[[#This Row],[Fecha]],'Plantilla AEG ES'!$E$1:$HX$13,9,FALSE)</f>
        <v>3</v>
      </c>
      <c r="AK117" s="46">
        <f>HLOOKUP(TBL_CalcDarwin[[#This Row],[Fecha]],'Plantilla AEG ES'!$E$1:$HX$13,10,FALSE)</f>
        <v>12</v>
      </c>
      <c r="AL117" s="46">
        <f>HLOOKUP(TBL_CalcDarwin[[#This Row],[Fecha]],'Plantilla AEG ES'!$E$1:$HX$13,11,FALSE)</f>
        <v>1</v>
      </c>
      <c r="AM117" s="46">
        <f>HLOOKUP(TBL_CalcDarwin[[#This Row],[Fecha]],'Plantilla AEG ES'!$E$1:$HX$13,12,FALSE)</f>
        <v>7</v>
      </c>
      <c r="AN117" s="46">
        <f>HLOOKUP(TBL_CalcDarwin[[#This Row],[Fecha]],'Plantilla AEG ES'!$E$1:$HX$13,13,FALSE)</f>
        <v>1</v>
      </c>
      <c r="AO117" s="37">
        <f>TBL_CalcDarwin[[#This Row],[Lomitas - Barra A - 5.2 - Cerro]]+TBL_CalcDarwin[[#This Row],[Lomitas - Barra A - 5.2 - Medio]]+TBL_CalcDarwin[[#This Row],[Lomitas - Barra A - 5.2 - Mar]]</f>
        <v>25</v>
      </c>
      <c r="AP1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120.49000000000001</v>
      </c>
      <c r="AR1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115.256</v>
      </c>
      <c r="AS117" s="37">
        <f>TBL_CalcDarwin[[#This Row],[Expansión - Barra A - 5.2 - Cerro]]+TBL_CalcDarwin[[#This Row],[Expansión - Barra A - 5.2 - Medio]]+TBL_CalcDarwin[[#This Row],[Expansión - Barra A - 5.2 - Mar]]</f>
        <v>2</v>
      </c>
      <c r="AT117" s="37">
        <f>TBL_CalcDarwin[[#This Row],[Expansión - Barra B - 5.2 - Cerro]]</f>
        <v>1</v>
      </c>
      <c r="AU1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17" s="29">
        <f>TBL_CalcDarwin[[#This Row],[Expansión - Barra B - 5.2 - Cerro]]*TBL_CalcDarwin[[#This Row],[AEG 5.2 MW Cerro]]</f>
        <v>3.8420000000000001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5">
        <f t="shared" si="6"/>
        <v>45588.833333333059</v>
      </c>
      <c r="C118" s="17">
        <f t="shared" si="10"/>
        <v>4.833333333333333</v>
      </c>
      <c r="D118" s="34">
        <f>TBL_CalcDarwin[[#This Row],[Darwin PLOM
MW]]+TBL_CalcDarwin[[#This Row],[Darwin PLOME
MW]]</f>
        <v>240.73000000000002</v>
      </c>
      <c r="E118" s="34">
        <f>TBL_CalcDarwin[[#This Row],[PLOM MW TOTAL BARRA A]]+TBL_CalcDarwin[[#This Row],[PLOM MW TOTAL BARRA B]]</f>
        <v>229.33500000000001</v>
      </c>
      <c r="F118" s="34">
        <f>TBL_CalcDarwin[[#This Row],[PLOME MW TOTAL BARRA A]]+TBL_CalcDarwin[[#This Row],[PLOME MW TOTAL BARRA B]]</f>
        <v>11.395</v>
      </c>
      <c r="G118" s="48">
        <f>'Plantilla Datos'!D123</f>
        <v>9.5</v>
      </c>
      <c r="H118" s="48">
        <f>'Plantilla Datos'!E123</f>
        <v>11.8</v>
      </c>
      <c r="I118" s="49">
        <f>'Plantilla Datos'!F123</f>
        <v>16.8</v>
      </c>
      <c r="J118" s="47">
        <f>CEILING('Plantilla Datos'!$L$3*TBL_CalcDarwin[[#This Row],[Darwin Gusts
m/s]],0.5)</f>
        <v>9</v>
      </c>
      <c r="K118" s="47">
        <f>CEILING('Plantilla Datos'!$L$4*TBL_CalcDarwin[[#This Row],[Darwin Gusts
m/s]],0.5)</f>
        <v>10.5</v>
      </c>
      <c r="L118" s="47">
        <f>CEILING(TBL_CalcDarwin[[#This Row],[Darwin Gusts
m/s]],0.5)</f>
        <v>12</v>
      </c>
      <c r="M1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5.1280000000000001</v>
      </c>
      <c r="Q118" s="41">
        <f>INDEX(Curva_Temp[Temp],MATCH(TBL_CalcDarwin[[#This Row],[Darwin Temp.
°C]],Curva_Temp[Temp]))</f>
        <v>15</v>
      </c>
      <c r="R118" s="41">
        <f>INDEX(Curva_Temp[Warranted Power Curve for 
1.194Kg/m3 air density '[kW']
SG 5.0-145 (AM+1, 5.2MW) AT 
90M],MATCH(TBL_CalcDarwin[[#This Row],[Darwin Temp.
°C]],Curva_Temp[Temp]))</f>
        <v>5200</v>
      </c>
      <c r="S118" s="41" cm="1">
        <f t="array" ref="S118">INDEX(Curva_Temp[Temp],MATCH(TBL_CalcDarwin[[#This Row],[Darwin Temp.
°C]],Curva_Temp[Temp])+1)</f>
        <v>20</v>
      </c>
      <c r="T118" s="41" cm="1">
        <f t="array" ref="T118">INDEX(Curva_Temp[Warranted Power Curve for 
1.194Kg/m3 air density '[kW']
SG 5.0-145 (AM+1, 5.2MW) AT 
90M],MATCH(TBL_CalcDarwin[[#This Row],[Darwin Temp.
°C]],Curva_Temp[Temp])+1)</f>
        <v>5000</v>
      </c>
      <c r="U1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18" s="41">
        <f>INDEX(Curva_Temp[Temp],MATCH(TBL_CalcDarwin[[#This Row],[Darwin Temp.
°C]],Curva_Temp[Temp]))</f>
        <v>15</v>
      </c>
      <c r="Z118" s="41">
        <f>INDEX(Curva_Temp[Warranted Power Curve for 
1.194Kg/m3 air density '[kW']
SG 5.0-145 (AM 0, 5.0MW) AT 
90M],MATCH(TBL_CalcDarwin[[#This Row],[Darwin Temp.
°C]],Curva_Temp[Temp]))</f>
        <v>5000</v>
      </c>
      <c r="AA118" s="41" cm="1">
        <f t="array" ref="AA118">INDEX(Curva_Temp[Temp],MATCH(TBL_CalcDarwin[[#This Row],[Darwin Temp.
°C]],Curva_Temp[Temp])+1)</f>
        <v>20</v>
      </c>
      <c r="AB118" s="41" cm="1">
        <f t="array" ref="AB118">INDEX(Curva_Temp[Warranted Power Curve for 
1.194Kg/m3 air density '[kW']
SG 5.0-145 (AM 0, 5.0MW) AT 
90M],MATCH(TBL_CalcDarwin[[#This Row],[Darwin Temp.
°C]],Curva_Temp[Temp])+1)</f>
        <v>5000</v>
      </c>
      <c r="AC118" s="45">
        <f>HLOOKUP(TBL_CalcDarwin[[#This Row],[Fecha]],'Plantilla AEG ES'!$E$1:$HX$13,2,FALSE)</f>
        <v>5</v>
      </c>
      <c r="AD118" s="45">
        <f>HLOOKUP(TBL_CalcDarwin[[#This Row],[Fecha]],'Plantilla AEG ES'!$E$1:$HX$13,3,FALSE)</f>
        <v>8</v>
      </c>
      <c r="AE118" s="45">
        <f>HLOOKUP(TBL_CalcDarwin[[#This Row],[Fecha]],'Plantilla AEG ES'!$E$1:$HX$13,4,FALSE)</f>
        <v>12</v>
      </c>
      <c r="AF118" s="45">
        <f>HLOOKUP(TBL_CalcDarwin[[#This Row],[Fecha]],'Plantilla AEG ES'!$E$1:$HX$13,5,FALSE)</f>
        <v>1</v>
      </c>
      <c r="AG118" s="45">
        <f>HLOOKUP(TBL_CalcDarwin[[#This Row],[Fecha]],'Plantilla AEG ES'!$E$1:$HX$13,6,FALSE)</f>
        <v>1</v>
      </c>
      <c r="AH118" s="45">
        <f>HLOOKUP(TBL_CalcDarwin[[#This Row],[Fecha]],'Plantilla AEG ES'!$E$1:$HX$13,7,FALSE)</f>
        <v>0</v>
      </c>
      <c r="AI118" s="46">
        <f>HLOOKUP(TBL_CalcDarwin[[#This Row],[Fecha]],'Plantilla AEG ES'!$E$1:$HX$13,8,FALSE)</f>
        <v>0</v>
      </c>
      <c r="AJ118" s="46">
        <f>HLOOKUP(TBL_CalcDarwin[[#This Row],[Fecha]],'Plantilla AEG ES'!$E$1:$HX$13,9,FALSE)</f>
        <v>3</v>
      </c>
      <c r="AK118" s="46">
        <f>HLOOKUP(TBL_CalcDarwin[[#This Row],[Fecha]],'Plantilla AEG ES'!$E$1:$HX$13,10,FALSE)</f>
        <v>12</v>
      </c>
      <c r="AL118" s="46">
        <f>HLOOKUP(TBL_CalcDarwin[[#This Row],[Fecha]],'Plantilla AEG ES'!$E$1:$HX$13,11,FALSE)</f>
        <v>1</v>
      </c>
      <c r="AM118" s="46">
        <f>HLOOKUP(TBL_CalcDarwin[[#This Row],[Fecha]],'Plantilla AEG ES'!$E$1:$HX$13,12,FALSE)</f>
        <v>7</v>
      </c>
      <c r="AN118" s="46">
        <f>HLOOKUP(TBL_CalcDarwin[[#This Row],[Fecha]],'Plantilla AEG ES'!$E$1:$HX$13,13,FALSE)</f>
        <v>1</v>
      </c>
      <c r="AO118" s="37">
        <f>TBL_CalcDarwin[[#This Row],[Lomitas - Barra A - 5.2 - Cerro]]+TBL_CalcDarwin[[#This Row],[Lomitas - Barra A - 5.2 - Medio]]+TBL_CalcDarwin[[#This Row],[Lomitas - Barra A - 5.2 - Mar]]</f>
        <v>25</v>
      </c>
      <c r="AP1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115.67</v>
      </c>
      <c r="AR1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113.66500000000001</v>
      </c>
      <c r="AS118" s="37">
        <f>TBL_CalcDarwin[[#This Row],[Expansión - Barra A - 5.2 - Cerro]]+TBL_CalcDarwin[[#This Row],[Expansión - Barra A - 5.2 - Medio]]+TBL_CalcDarwin[[#This Row],[Expansión - Barra A - 5.2 - Mar]]</f>
        <v>2</v>
      </c>
      <c r="AT118" s="37">
        <f>TBL_CalcDarwin[[#This Row],[Expansión - Barra B - 5.2 - Cerro]]</f>
        <v>1</v>
      </c>
      <c r="AU1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18" s="29">
        <f>TBL_CalcDarwin[[#This Row],[Expansión - Barra B - 5.2 - Cerro]]*TBL_CalcDarwin[[#This Row],[AEG 5.2 MW Cerro]]</f>
        <v>3.3660000000000001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5">
        <f t="shared" si="6"/>
        <v>45588.874999999724</v>
      </c>
      <c r="C119" s="17">
        <f>C118+TIME(1,0,0)</f>
        <v>4.875</v>
      </c>
      <c r="D119" s="34">
        <f>TBL_CalcDarwin[[#This Row],[Darwin PLOM
MW]]+TBL_CalcDarwin[[#This Row],[Darwin PLOME
MW]]</f>
        <v>217.79000000000002</v>
      </c>
      <c r="E119" s="34">
        <f>TBL_CalcDarwin[[#This Row],[PLOM MW TOTAL BARRA A]]+TBL_CalcDarwin[[#This Row],[PLOM MW TOTAL BARRA B]]</f>
        <v>209.13000000000002</v>
      </c>
      <c r="F119" s="34">
        <f>TBL_CalcDarwin[[#This Row],[PLOME MW TOTAL BARRA A]]+TBL_CalcDarwin[[#This Row],[PLOME MW TOTAL BARRA B]]</f>
        <v>8.66</v>
      </c>
      <c r="G119" s="48">
        <f>'Plantilla Datos'!D124</f>
        <v>8.6</v>
      </c>
      <c r="H119" s="48">
        <f>'Plantilla Datos'!E124</f>
        <v>10.8</v>
      </c>
      <c r="I119" s="49">
        <f>'Plantilla Datos'!F124</f>
        <v>16.899999999999999</v>
      </c>
      <c r="J119" s="47">
        <f>CEILING('Plantilla Datos'!$L$3*TBL_CalcDarwin[[#This Row],[Darwin Gusts
m/s]],0.5)</f>
        <v>8</v>
      </c>
      <c r="K119" s="47">
        <f>CEILING('Plantilla Datos'!$L$4*TBL_CalcDarwin[[#This Row],[Darwin Gusts
m/s]],0.5)</f>
        <v>9.5</v>
      </c>
      <c r="L119" s="47">
        <f>CEILING(TBL_CalcDarwin[[#This Row],[Darwin Gusts
m/s]],0.5)</f>
        <v>11</v>
      </c>
      <c r="M1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19" s="41">
        <f>INDEX(Curva_Temp[Temp],MATCH(TBL_CalcDarwin[[#This Row],[Darwin Temp.
°C]],Curva_Temp[Temp]))</f>
        <v>15</v>
      </c>
      <c r="R119" s="41">
        <f>INDEX(Curva_Temp[Warranted Power Curve for 
1.194Kg/m3 air density '[kW']
SG 5.0-145 (AM+1, 5.2MW) AT 
90M],MATCH(TBL_CalcDarwin[[#This Row],[Darwin Temp.
°C]],Curva_Temp[Temp]))</f>
        <v>5200</v>
      </c>
      <c r="S119" s="41" cm="1">
        <f t="array" ref="S119">INDEX(Curva_Temp[Temp],MATCH(TBL_CalcDarwin[[#This Row],[Darwin Temp.
°C]],Curva_Temp[Temp])+1)</f>
        <v>20</v>
      </c>
      <c r="T119" s="41" cm="1">
        <f t="array" ref="T119">INDEX(Curva_Temp[Warranted Power Curve for 
1.194Kg/m3 air density '[kW']
SG 5.0-145 (AM+1, 5.2MW) AT 
90M],MATCH(TBL_CalcDarwin[[#This Row],[Darwin Temp.
°C]],Curva_Temp[Temp])+1)</f>
        <v>5000</v>
      </c>
      <c r="U1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19" s="41">
        <f>INDEX(Curva_Temp[Temp],MATCH(TBL_CalcDarwin[[#This Row],[Darwin Temp.
°C]],Curva_Temp[Temp]))</f>
        <v>15</v>
      </c>
      <c r="Z119" s="41">
        <f>INDEX(Curva_Temp[Warranted Power Curve for 
1.194Kg/m3 air density '[kW']
SG 5.0-145 (AM 0, 5.0MW) AT 
90M],MATCH(TBL_CalcDarwin[[#This Row],[Darwin Temp.
°C]],Curva_Temp[Temp]))</f>
        <v>5000</v>
      </c>
      <c r="AA119" s="41" cm="1">
        <f t="array" ref="AA119">INDEX(Curva_Temp[Temp],MATCH(TBL_CalcDarwin[[#This Row],[Darwin Temp.
°C]],Curva_Temp[Temp])+1)</f>
        <v>20</v>
      </c>
      <c r="AB119" s="41" cm="1">
        <f t="array" ref="AB119">INDEX(Curva_Temp[Warranted Power Curve for 
1.194Kg/m3 air density '[kW']
SG 5.0-145 (AM 0, 5.0MW) AT 
90M],MATCH(TBL_CalcDarwin[[#This Row],[Darwin Temp.
°C]],Curva_Temp[Temp])+1)</f>
        <v>5000</v>
      </c>
      <c r="AC119" s="45">
        <f>HLOOKUP(TBL_CalcDarwin[[#This Row],[Fecha]],'Plantilla AEG ES'!$E$1:$HX$13,2,FALSE)</f>
        <v>5</v>
      </c>
      <c r="AD119" s="45">
        <f>HLOOKUP(TBL_CalcDarwin[[#This Row],[Fecha]],'Plantilla AEG ES'!$E$1:$HX$13,3,FALSE)</f>
        <v>8</v>
      </c>
      <c r="AE119" s="45">
        <f>HLOOKUP(TBL_CalcDarwin[[#This Row],[Fecha]],'Plantilla AEG ES'!$E$1:$HX$13,4,FALSE)</f>
        <v>12</v>
      </c>
      <c r="AF119" s="45">
        <f>HLOOKUP(TBL_CalcDarwin[[#This Row],[Fecha]],'Plantilla AEG ES'!$E$1:$HX$13,5,FALSE)</f>
        <v>1</v>
      </c>
      <c r="AG119" s="45">
        <f>HLOOKUP(TBL_CalcDarwin[[#This Row],[Fecha]],'Plantilla AEG ES'!$E$1:$HX$13,6,FALSE)</f>
        <v>1</v>
      </c>
      <c r="AH119" s="45">
        <f>HLOOKUP(TBL_CalcDarwin[[#This Row],[Fecha]],'Plantilla AEG ES'!$E$1:$HX$13,7,FALSE)</f>
        <v>0</v>
      </c>
      <c r="AI119" s="46">
        <f>HLOOKUP(TBL_CalcDarwin[[#This Row],[Fecha]],'Plantilla AEG ES'!$E$1:$HX$13,8,FALSE)</f>
        <v>0</v>
      </c>
      <c r="AJ119" s="46">
        <f>HLOOKUP(TBL_CalcDarwin[[#This Row],[Fecha]],'Plantilla AEG ES'!$E$1:$HX$13,9,FALSE)</f>
        <v>3</v>
      </c>
      <c r="AK119" s="46">
        <f>HLOOKUP(TBL_CalcDarwin[[#This Row],[Fecha]],'Plantilla AEG ES'!$E$1:$HX$13,10,FALSE)</f>
        <v>12</v>
      </c>
      <c r="AL119" s="46">
        <f>HLOOKUP(TBL_CalcDarwin[[#This Row],[Fecha]],'Plantilla AEG ES'!$E$1:$HX$13,11,FALSE)</f>
        <v>1</v>
      </c>
      <c r="AM119" s="46">
        <f>HLOOKUP(TBL_CalcDarwin[[#This Row],[Fecha]],'Plantilla AEG ES'!$E$1:$HX$13,12,FALSE)</f>
        <v>7</v>
      </c>
      <c r="AN119" s="46">
        <f>HLOOKUP(TBL_CalcDarwin[[#This Row],[Fecha]],'Plantilla AEG ES'!$E$1:$HX$13,13,FALSE)</f>
        <v>1</v>
      </c>
      <c r="AO119" s="37">
        <f>TBL_CalcDarwin[[#This Row],[Lomitas - Barra A - 5.2 - Cerro]]+TBL_CalcDarwin[[#This Row],[Lomitas - Barra A - 5.2 - Medio]]+TBL_CalcDarwin[[#This Row],[Lomitas - Barra A - 5.2 - Mar]]</f>
        <v>25</v>
      </c>
      <c r="AP1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19" s="37">
        <f>TBL_CalcDarwin[[#This Row],[Expansión - Barra A - 5.2 - Cerro]]+TBL_CalcDarwin[[#This Row],[Expansión - Barra A - 5.2 - Medio]]+TBL_CalcDarwin[[#This Row],[Expansión - Barra A - 5.2 - Mar]]</f>
        <v>2</v>
      </c>
      <c r="AT119" s="37">
        <f>TBL_CalcDarwin[[#This Row],[Expansión - Barra B - 5.2 - Cerro]]</f>
        <v>1</v>
      </c>
      <c r="AU1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19" s="29">
        <f>TBL_CalcDarwin[[#This Row],[Expansión - Barra B - 5.2 - Cerro]]*TBL_CalcDarwin[[#This Row],[AEG 5.2 MW Cerro]]</f>
        <v>2.4089999999999998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5">
        <f t="shared" si="6"/>
        <v>45588.916666666388</v>
      </c>
      <c r="C120" s="17">
        <f t="shared" ref="C120:C124" si="11">C119+TIME(1,0,0)</f>
        <v>4.916666666666667</v>
      </c>
      <c r="D120" s="34">
        <f>TBL_CalcDarwin[[#This Row],[Darwin PLOM
MW]]+TBL_CalcDarwin[[#This Row],[Darwin PLOME
MW]]</f>
        <v>182.655</v>
      </c>
      <c r="E120" s="34">
        <f>TBL_CalcDarwin[[#This Row],[PLOM MW TOTAL BARRA A]]+TBL_CalcDarwin[[#This Row],[PLOM MW TOTAL BARRA B]]</f>
        <v>175.821</v>
      </c>
      <c r="F120" s="34">
        <f>TBL_CalcDarwin[[#This Row],[PLOME MW TOTAL BARRA A]]+TBL_CalcDarwin[[#This Row],[PLOME MW TOTAL BARRA B]]</f>
        <v>6.8339999999999996</v>
      </c>
      <c r="G120" s="48">
        <f>'Plantilla Datos'!D125</f>
        <v>7.8</v>
      </c>
      <c r="H120" s="48">
        <f>'Plantilla Datos'!E125</f>
        <v>9.8000000000000007</v>
      </c>
      <c r="I120" s="49">
        <f>'Plantilla Datos'!F125</f>
        <v>17.100000000000001</v>
      </c>
      <c r="J120" s="47">
        <f>CEILING('Plantilla Datos'!$L$3*TBL_CalcDarwin[[#This Row],[Darwin Gusts
m/s]],0.5)</f>
        <v>7.5</v>
      </c>
      <c r="K120" s="47">
        <f>CEILING('Plantilla Datos'!$L$4*TBL_CalcDarwin[[#This Row],[Darwin Gusts
m/s]],0.5)</f>
        <v>8.5</v>
      </c>
      <c r="L120" s="47">
        <f>CEILING(TBL_CalcDarwin[[#This Row],[Darwin Gusts
m/s]],0.5)</f>
        <v>10</v>
      </c>
      <c r="M1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20" s="41">
        <f>INDEX(Curva_Temp[Temp],MATCH(TBL_CalcDarwin[[#This Row],[Darwin Temp.
°C]],Curva_Temp[Temp]))</f>
        <v>15</v>
      </c>
      <c r="R120" s="41">
        <f>INDEX(Curva_Temp[Warranted Power Curve for 
1.194Kg/m3 air density '[kW']
SG 5.0-145 (AM+1, 5.2MW) AT 
90M],MATCH(TBL_CalcDarwin[[#This Row],[Darwin Temp.
°C]],Curva_Temp[Temp]))</f>
        <v>5200</v>
      </c>
      <c r="S120" s="41" cm="1">
        <f t="array" ref="S120">INDEX(Curva_Temp[Temp],MATCH(TBL_CalcDarwin[[#This Row],[Darwin Temp.
°C]],Curva_Temp[Temp])+1)</f>
        <v>20</v>
      </c>
      <c r="T120" s="41" cm="1">
        <f t="array" ref="T120">INDEX(Curva_Temp[Warranted Power Curve for 
1.194Kg/m3 air density '[kW']
SG 5.0-145 (AM+1, 5.2MW) AT 
90M],MATCH(TBL_CalcDarwin[[#This Row],[Darwin Temp.
°C]],Curva_Temp[Temp])+1)</f>
        <v>5000</v>
      </c>
      <c r="U1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20" s="41">
        <f>INDEX(Curva_Temp[Temp],MATCH(TBL_CalcDarwin[[#This Row],[Darwin Temp.
°C]],Curva_Temp[Temp]))</f>
        <v>15</v>
      </c>
      <c r="Z120" s="41">
        <f>INDEX(Curva_Temp[Warranted Power Curve for 
1.194Kg/m3 air density '[kW']
SG 5.0-145 (AM 0, 5.0MW) AT 
90M],MATCH(TBL_CalcDarwin[[#This Row],[Darwin Temp.
°C]],Curva_Temp[Temp]))</f>
        <v>5000</v>
      </c>
      <c r="AA120" s="41" cm="1">
        <f t="array" ref="AA120">INDEX(Curva_Temp[Temp],MATCH(TBL_CalcDarwin[[#This Row],[Darwin Temp.
°C]],Curva_Temp[Temp])+1)</f>
        <v>20</v>
      </c>
      <c r="AB120" s="41" cm="1">
        <f t="array" ref="AB120">INDEX(Curva_Temp[Warranted Power Curve for 
1.194Kg/m3 air density '[kW']
SG 5.0-145 (AM 0, 5.0MW) AT 
90M],MATCH(TBL_CalcDarwin[[#This Row],[Darwin Temp.
°C]],Curva_Temp[Temp])+1)</f>
        <v>5000</v>
      </c>
      <c r="AC120" s="45">
        <f>HLOOKUP(TBL_CalcDarwin[[#This Row],[Fecha]],'Plantilla AEG ES'!$E$1:$HX$13,2,FALSE)</f>
        <v>5</v>
      </c>
      <c r="AD120" s="45">
        <f>HLOOKUP(TBL_CalcDarwin[[#This Row],[Fecha]],'Plantilla AEG ES'!$E$1:$HX$13,3,FALSE)</f>
        <v>8</v>
      </c>
      <c r="AE120" s="45">
        <f>HLOOKUP(TBL_CalcDarwin[[#This Row],[Fecha]],'Plantilla AEG ES'!$E$1:$HX$13,4,FALSE)</f>
        <v>12</v>
      </c>
      <c r="AF120" s="45">
        <f>HLOOKUP(TBL_CalcDarwin[[#This Row],[Fecha]],'Plantilla AEG ES'!$E$1:$HX$13,5,FALSE)</f>
        <v>1</v>
      </c>
      <c r="AG120" s="45">
        <f>HLOOKUP(TBL_CalcDarwin[[#This Row],[Fecha]],'Plantilla AEG ES'!$E$1:$HX$13,6,FALSE)</f>
        <v>1</v>
      </c>
      <c r="AH120" s="45">
        <f>HLOOKUP(TBL_CalcDarwin[[#This Row],[Fecha]],'Plantilla AEG ES'!$E$1:$HX$13,7,FALSE)</f>
        <v>0</v>
      </c>
      <c r="AI120" s="46">
        <f>HLOOKUP(TBL_CalcDarwin[[#This Row],[Fecha]],'Plantilla AEG ES'!$E$1:$HX$13,8,FALSE)</f>
        <v>0</v>
      </c>
      <c r="AJ120" s="46">
        <f>HLOOKUP(TBL_CalcDarwin[[#This Row],[Fecha]],'Plantilla AEG ES'!$E$1:$HX$13,9,FALSE)</f>
        <v>3</v>
      </c>
      <c r="AK120" s="46">
        <f>HLOOKUP(TBL_CalcDarwin[[#This Row],[Fecha]],'Plantilla AEG ES'!$E$1:$HX$13,10,FALSE)</f>
        <v>12</v>
      </c>
      <c r="AL120" s="46">
        <f>HLOOKUP(TBL_CalcDarwin[[#This Row],[Fecha]],'Plantilla AEG ES'!$E$1:$HX$13,11,FALSE)</f>
        <v>1</v>
      </c>
      <c r="AM120" s="46">
        <f>HLOOKUP(TBL_CalcDarwin[[#This Row],[Fecha]],'Plantilla AEG ES'!$E$1:$HX$13,12,FALSE)</f>
        <v>7</v>
      </c>
      <c r="AN120" s="46">
        <f>HLOOKUP(TBL_CalcDarwin[[#This Row],[Fecha]],'Plantilla AEG ES'!$E$1:$HX$13,13,FALSE)</f>
        <v>1</v>
      </c>
      <c r="AO120" s="37">
        <f>TBL_CalcDarwin[[#This Row],[Lomitas - Barra A - 5.2 - Cerro]]+TBL_CalcDarwin[[#This Row],[Lomitas - Barra A - 5.2 - Medio]]+TBL_CalcDarwin[[#This Row],[Lomitas - Barra A - 5.2 - Mar]]</f>
        <v>25</v>
      </c>
      <c r="AP1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20" s="37">
        <f>TBL_CalcDarwin[[#This Row],[Expansión - Barra A - 5.2 - Cerro]]+TBL_CalcDarwin[[#This Row],[Expansión - Barra A - 5.2 - Medio]]+TBL_CalcDarwin[[#This Row],[Expansión - Barra A - 5.2 - Mar]]</f>
        <v>2</v>
      </c>
      <c r="AT120" s="37">
        <f>TBL_CalcDarwin[[#This Row],[Expansión - Barra B - 5.2 - Cerro]]</f>
        <v>1</v>
      </c>
      <c r="AU1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20" s="29">
        <f>TBL_CalcDarwin[[#This Row],[Expansión - Barra B - 5.2 - Cerro]]*TBL_CalcDarwin[[#This Row],[AEG 5.2 MW Cerro]]</f>
        <v>1.978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5">
        <f t="shared" si="6"/>
        <v>45588.958333333052</v>
      </c>
      <c r="C121" s="17">
        <f t="shared" si="11"/>
        <v>4.9583333333333339</v>
      </c>
      <c r="D121" s="34">
        <f>TBL_CalcDarwin[[#This Row],[Darwin PLOM
MW]]+TBL_CalcDarwin[[#This Row],[Darwin PLOME
MW]]</f>
        <v>137.999</v>
      </c>
      <c r="E121" s="34">
        <f>TBL_CalcDarwin[[#This Row],[PLOM MW TOTAL BARRA A]]+TBL_CalcDarwin[[#This Row],[PLOM MW TOTAL BARRA B]]</f>
        <v>133.489</v>
      </c>
      <c r="F121" s="34">
        <f>TBL_CalcDarwin[[#This Row],[PLOME MW TOTAL BARRA A]]+TBL_CalcDarwin[[#This Row],[PLOME MW TOTAL BARRA B]]</f>
        <v>4.51</v>
      </c>
      <c r="G121" s="48">
        <f>'Plantilla Datos'!D126</f>
        <v>6.9</v>
      </c>
      <c r="H121" s="48">
        <f>'Plantilla Datos'!E126</f>
        <v>8.6999999999999993</v>
      </c>
      <c r="I121" s="49">
        <f>'Plantilla Datos'!F126</f>
        <v>17.3</v>
      </c>
      <c r="J121" s="47">
        <f>CEILING('Plantilla Datos'!$L$3*TBL_CalcDarwin[[#This Row],[Darwin Gusts
m/s]],0.5)</f>
        <v>6.5</v>
      </c>
      <c r="K121" s="47">
        <f>CEILING('Plantilla Datos'!$L$4*TBL_CalcDarwin[[#This Row],[Darwin Gusts
m/s]],0.5)</f>
        <v>7.5</v>
      </c>
      <c r="L121" s="47">
        <f>CEILING(TBL_CalcDarwin[[#This Row],[Darwin Gusts
m/s]],0.5)</f>
        <v>9</v>
      </c>
      <c r="M1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21" s="41">
        <f>INDEX(Curva_Temp[Temp],MATCH(TBL_CalcDarwin[[#This Row],[Darwin Temp.
°C]],Curva_Temp[Temp]))</f>
        <v>15</v>
      </c>
      <c r="R121" s="41">
        <f>INDEX(Curva_Temp[Warranted Power Curve for 
1.194Kg/m3 air density '[kW']
SG 5.0-145 (AM+1, 5.2MW) AT 
90M],MATCH(TBL_CalcDarwin[[#This Row],[Darwin Temp.
°C]],Curva_Temp[Temp]))</f>
        <v>5200</v>
      </c>
      <c r="S121" s="41" cm="1">
        <f t="array" ref="S121">INDEX(Curva_Temp[Temp],MATCH(TBL_CalcDarwin[[#This Row],[Darwin Temp.
°C]],Curva_Temp[Temp])+1)</f>
        <v>20</v>
      </c>
      <c r="T121" s="41" cm="1">
        <f t="array" ref="T121">INDEX(Curva_Temp[Warranted Power Curve for 
1.194Kg/m3 air density '[kW']
SG 5.0-145 (AM+1, 5.2MW) AT 
90M],MATCH(TBL_CalcDarwin[[#This Row],[Darwin Temp.
°C]],Curva_Temp[Temp])+1)</f>
        <v>5000</v>
      </c>
      <c r="U1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21" s="41">
        <f>INDEX(Curva_Temp[Temp],MATCH(TBL_CalcDarwin[[#This Row],[Darwin Temp.
°C]],Curva_Temp[Temp]))</f>
        <v>15</v>
      </c>
      <c r="Z121" s="41">
        <f>INDEX(Curva_Temp[Warranted Power Curve for 
1.194Kg/m3 air density '[kW']
SG 5.0-145 (AM 0, 5.0MW) AT 
90M],MATCH(TBL_CalcDarwin[[#This Row],[Darwin Temp.
°C]],Curva_Temp[Temp]))</f>
        <v>5000</v>
      </c>
      <c r="AA121" s="41" cm="1">
        <f t="array" ref="AA121">INDEX(Curva_Temp[Temp],MATCH(TBL_CalcDarwin[[#This Row],[Darwin Temp.
°C]],Curva_Temp[Temp])+1)</f>
        <v>20</v>
      </c>
      <c r="AB121" s="41" cm="1">
        <f t="array" ref="AB121">INDEX(Curva_Temp[Warranted Power Curve for 
1.194Kg/m3 air density '[kW']
SG 5.0-145 (AM 0, 5.0MW) AT 
90M],MATCH(TBL_CalcDarwin[[#This Row],[Darwin Temp.
°C]],Curva_Temp[Temp])+1)</f>
        <v>5000</v>
      </c>
      <c r="AC121" s="45">
        <f>HLOOKUP(TBL_CalcDarwin[[#This Row],[Fecha]],'Plantilla AEG ES'!$E$1:$HX$13,2,FALSE)</f>
        <v>5</v>
      </c>
      <c r="AD121" s="45">
        <f>HLOOKUP(TBL_CalcDarwin[[#This Row],[Fecha]],'Plantilla AEG ES'!$E$1:$HX$13,3,FALSE)</f>
        <v>8</v>
      </c>
      <c r="AE121" s="45">
        <f>HLOOKUP(TBL_CalcDarwin[[#This Row],[Fecha]],'Plantilla AEG ES'!$E$1:$HX$13,4,FALSE)</f>
        <v>12</v>
      </c>
      <c r="AF121" s="45">
        <f>HLOOKUP(TBL_CalcDarwin[[#This Row],[Fecha]],'Plantilla AEG ES'!$E$1:$HX$13,5,FALSE)</f>
        <v>1</v>
      </c>
      <c r="AG121" s="45">
        <f>HLOOKUP(TBL_CalcDarwin[[#This Row],[Fecha]],'Plantilla AEG ES'!$E$1:$HX$13,6,FALSE)</f>
        <v>1</v>
      </c>
      <c r="AH121" s="45">
        <f>HLOOKUP(TBL_CalcDarwin[[#This Row],[Fecha]],'Plantilla AEG ES'!$E$1:$HX$13,7,FALSE)</f>
        <v>0</v>
      </c>
      <c r="AI121" s="46">
        <f>HLOOKUP(TBL_CalcDarwin[[#This Row],[Fecha]],'Plantilla AEG ES'!$E$1:$HX$13,8,FALSE)</f>
        <v>0</v>
      </c>
      <c r="AJ121" s="46">
        <f>HLOOKUP(TBL_CalcDarwin[[#This Row],[Fecha]],'Plantilla AEG ES'!$E$1:$HX$13,9,FALSE)</f>
        <v>3</v>
      </c>
      <c r="AK121" s="46">
        <f>HLOOKUP(TBL_CalcDarwin[[#This Row],[Fecha]],'Plantilla AEG ES'!$E$1:$HX$13,10,FALSE)</f>
        <v>12</v>
      </c>
      <c r="AL121" s="46">
        <f>HLOOKUP(TBL_CalcDarwin[[#This Row],[Fecha]],'Plantilla AEG ES'!$E$1:$HX$13,11,FALSE)</f>
        <v>1</v>
      </c>
      <c r="AM121" s="46">
        <f>HLOOKUP(TBL_CalcDarwin[[#This Row],[Fecha]],'Plantilla AEG ES'!$E$1:$HX$13,12,FALSE)</f>
        <v>7</v>
      </c>
      <c r="AN121" s="46">
        <f>HLOOKUP(TBL_CalcDarwin[[#This Row],[Fecha]],'Plantilla AEG ES'!$E$1:$HX$13,13,FALSE)</f>
        <v>1</v>
      </c>
      <c r="AO121" s="37">
        <f>TBL_CalcDarwin[[#This Row],[Lomitas - Barra A - 5.2 - Cerro]]+TBL_CalcDarwin[[#This Row],[Lomitas - Barra A - 5.2 - Medio]]+TBL_CalcDarwin[[#This Row],[Lomitas - Barra A - 5.2 - Mar]]</f>
        <v>25</v>
      </c>
      <c r="AP1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21" s="37">
        <f>TBL_CalcDarwin[[#This Row],[Expansión - Barra A - 5.2 - Cerro]]+TBL_CalcDarwin[[#This Row],[Expansión - Barra A - 5.2 - Medio]]+TBL_CalcDarwin[[#This Row],[Expansión - Barra A - 5.2 - Mar]]</f>
        <v>2</v>
      </c>
      <c r="AT121" s="37">
        <f>TBL_CalcDarwin[[#This Row],[Expansión - Barra B - 5.2 - Cerro]]</f>
        <v>1</v>
      </c>
      <c r="AU1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21" s="29">
        <f>TBL_CalcDarwin[[#This Row],[Expansión - Barra B - 5.2 - Cerro]]*TBL_CalcDarwin[[#This Row],[AEG 5.2 MW Cerro]]</f>
        <v>1.266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5">
        <f t="shared" si="6"/>
        <v>45588.999999999716</v>
      </c>
      <c r="C122" s="17">
        <f t="shared" si="11"/>
        <v>5.0000000000000009</v>
      </c>
      <c r="D122" s="34">
        <f>TBL_CalcDarwin[[#This Row],[Darwin PLOM
MW]]+TBL_CalcDarwin[[#This Row],[Darwin PLOME
MW]]</f>
        <v>97.623000000000005</v>
      </c>
      <c r="E122" s="34">
        <f>TBL_CalcDarwin[[#This Row],[PLOM MW TOTAL BARRA A]]+TBL_CalcDarwin[[#This Row],[PLOM MW TOTAL BARRA B]]</f>
        <v>94.06</v>
      </c>
      <c r="F122" s="34">
        <f>TBL_CalcDarwin[[#This Row],[PLOME MW TOTAL BARRA A]]+TBL_CalcDarwin[[#This Row],[PLOME MW TOTAL BARRA B]]</f>
        <v>3.5630000000000002</v>
      </c>
      <c r="G122" s="48">
        <f>'Plantilla Datos'!D127</f>
        <v>6.1</v>
      </c>
      <c r="H122" s="48">
        <f>'Plantilla Datos'!E127</f>
        <v>7.7</v>
      </c>
      <c r="I122" s="49">
        <f>'Plantilla Datos'!F127</f>
        <v>17.5</v>
      </c>
      <c r="J122" s="47">
        <f>CEILING('Plantilla Datos'!$L$3*TBL_CalcDarwin[[#This Row],[Darwin Gusts
m/s]],0.5)</f>
        <v>6</v>
      </c>
      <c r="K122" s="47">
        <f>CEILING('Plantilla Datos'!$L$4*TBL_CalcDarwin[[#This Row],[Darwin Gusts
m/s]],0.5)</f>
        <v>7</v>
      </c>
      <c r="L122" s="47">
        <f>CEILING(TBL_CalcDarwin[[#This Row],[Darwin Gusts
m/s]],0.5)</f>
        <v>8</v>
      </c>
      <c r="M1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22" s="41">
        <f>INDEX(Curva_Temp[Temp],MATCH(TBL_CalcDarwin[[#This Row],[Darwin Temp.
°C]],Curva_Temp[Temp]))</f>
        <v>15</v>
      </c>
      <c r="R122" s="41">
        <f>INDEX(Curva_Temp[Warranted Power Curve for 
1.194Kg/m3 air density '[kW']
SG 5.0-145 (AM+1, 5.2MW) AT 
90M],MATCH(TBL_CalcDarwin[[#This Row],[Darwin Temp.
°C]],Curva_Temp[Temp]))</f>
        <v>5200</v>
      </c>
      <c r="S122" s="41" cm="1">
        <f t="array" ref="S122">INDEX(Curva_Temp[Temp],MATCH(TBL_CalcDarwin[[#This Row],[Darwin Temp.
°C]],Curva_Temp[Temp])+1)</f>
        <v>20</v>
      </c>
      <c r="T122" s="41" cm="1">
        <f t="array" ref="T122">INDEX(Curva_Temp[Warranted Power Curve for 
1.194Kg/m3 air density '[kW']
SG 5.0-145 (AM+1, 5.2MW) AT 
90M],MATCH(TBL_CalcDarwin[[#This Row],[Darwin Temp.
°C]],Curva_Temp[Temp])+1)</f>
        <v>5000</v>
      </c>
      <c r="U1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22" s="41">
        <f>INDEX(Curva_Temp[Temp],MATCH(TBL_CalcDarwin[[#This Row],[Darwin Temp.
°C]],Curva_Temp[Temp]))</f>
        <v>15</v>
      </c>
      <c r="Z122" s="41">
        <f>INDEX(Curva_Temp[Warranted Power Curve for 
1.194Kg/m3 air density '[kW']
SG 5.0-145 (AM 0, 5.0MW) AT 
90M],MATCH(TBL_CalcDarwin[[#This Row],[Darwin Temp.
°C]],Curva_Temp[Temp]))</f>
        <v>5000</v>
      </c>
      <c r="AA122" s="41" cm="1">
        <f t="array" ref="AA122">INDEX(Curva_Temp[Temp],MATCH(TBL_CalcDarwin[[#This Row],[Darwin Temp.
°C]],Curva_Temp[Temp])+1)</f>
        <v>20</v>
      </c>
      <c r="AB122" s="41" cm="1">
        <f t="array" ref="AB122">INDEX(Curva_Temp[Warranted Power Curve for 
1.194Kg/m3 air density '[kW']
SG 5.0-145 (AM 0, 5.0MW) AT 
90M],MATCH(TBL_CalcDarwin[[#This Row],[Darwin Temp.
°C]],Curva_Temp[Temp])+1)</f>
        <v>5000</v>
      </c>
      <c r="AC122" s="45">
        <f>HLOOKUP(TBL_CalcDarwin[[#This Row],[Fecha]],'Plantilla AEG ES'!$E$1:$HX$13,2,FALSE)</f>
        <v>5</v>
      </c>
      <c r="AD122" s="45">
        <f>HLOOKUP(TBL_CalcDarwin[[#This Row],[Fecha]],'Plantilla AEG ES'!$E$1:$HX$13,3,FALSE)</f>
        <v>7</v>
      </c>
      <c r="AE122" s="45">
        <f>HLOOKUP(TBL_CalcDarwin[[#This Row],[Fecha]],'Plantilla AEG ES'!$E$1:$HX$13,4,FALSE)</f>
        <v>11</v>
      </c>
      <c r="AF122" s="45">
        <f>HLOOKUP(TBL_CalcDarwin[[#This Row],[Fecha]],'Plantilla AEG ES'!$E$1:$HX$13,5,FALSE)</f>
        <v>1</v>
      </c>
      <c r="AG122" s="45">
        <f>HLOOKUP(TBL_CalcDarwin[[#This Row],[Fecha]],'Plantilla AEG ES'!$E$1:$HX$13,6,FALSE)</f>
        <v>1</v>
      </c>
      <c r="AH122" s="45">
        <f>HLOOKUP(TBL_CalcDarwin[[#This Row],[Fecha]],'Plantilla AEG ES'!$E$1:$HX$13,7,FALSE)</f>
        <v>0</v>
      </c>
      <c r="AI122" s="46">
        <f>HLOOKUP(TBL_CalcDarwin[[#This Row],[Fecha]],'Plantilla AEG ES'!$E$1:$HX$13,8,FALSE)</f>
        <v>0</v>
      </c>
      <c r="AJ122" s="46">
        <f>HLOOKUP(TBL_CalcDarwin[[#This Row],[Fecha]],'Plantilla AEG ES'!$E$1:$HX$13,9,FALSE)</f>
        <v>3</v>
      </c>
      <c r="AK122" s="46">
        <f>HLOOKUP(TBL_CalcDarwin[[#This Row],[Fecha]],'Plantilla AEG ES'!$E$1:$HX$13,10,FALSE)</f>
        <v>12</v>
      </c>
      <c r="AL122" s="46">
        <f>HLOOKUP(TBL_CalcDarwin[[#This Row],[Fecha]],'Plantilla AEG ES'!$E$1:$HX$13,11,FALSE)</f>
        <v>1</v>
      </c>
      <c r="AM122" s="46">
        <f>HLOOKUP(TBL_CalcDarwin[[#This Row],[Fecha]],'Plantilla AEG ES'!$E$1:$HX$13,12,FALSE)</f>
        <v>7</v>
      </c>
      <c r="AN122" s="46">
        <f>HLOOKUP(TBL_CalcDarwin[[#This Row],[Fecha]],'Plantilla AEG ES'!$E$1:$HX$13,13,FALSE)</f>
        <v>1</v>
      </c>
      <c r="AO122" s="37">
        <f>TBL_CalcDarwin[[#This Row],[Lomitas - Barra A - 5.2 - Cerro]]+TBL_CalcDarwin[[#This Row],[Lomitas - Barra A - 5.2 - Medio]]+TBL_CalcDarwin[[#This Row],[Lomitas - Barra A - 5.2 - Mar]]</f>
        <v>23</v>
      </c>
      <c r="AP1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22" s="37">
        <f>TBL_CalcDarwin[[#This Row],[Expansión - Barra A - 5.2 - Cerro]]+TBL_CalcDarwin[[#This Row],[Expansión - Barra A - 5.2 - Medio]]+TBL_CalcDarwin[[#This Row],[Expansión - Barra A - 5.2 - Mar]]</f>
        <v>2</v>
      </c>
      <c r="AT122" s="37">
        <f>TBL_CalcDarwin[[#This Row],[Expansión - Barra B - 5.2 - Cerro]]</f>
        <v>1</v>
      </c>
      <c r="AU1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22" s="29">
        <f>TBL_CalcDarwin[[#This Row],[Expansión - Barra B - 5.2 - Cerro]]*TBL_CalcDarwin[[#This Row],[AEG 5.2 MW Cerro]]</f>
        <v>0.98299999999999998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5">
        <f t="shared" si="6"/>
        <v>45589.04166666638</v>
      </c>
      <c r="C123" s="17">
        <f t="shared" si="11"/>
        <v>5.0416666666666679</v>
      </c>
      <c r="D123" s="34">
        <f>TBL_CalcDarwin[[#This Row],[Darwin PLOM
MW]]+TBL_CalcDarwin[[#This Row],[Darwin PLOME
MW]]</f>
        <v>63.076999999999998</v>
      </c>
      <c r="E123" s="34">
        <f>TBL_CalcDarwin[[#This Row],[PLOM MW TOTAL BARRA A]]+TBL_CalcDarwin[[#This Row],[PLOM MW TOTAL BARRA B]]</f>
        <v>61</v>
      </c>
      <c r="F123" s="34">
        <f>TBL_CalcDarwin[[#This Row],[PLOME MW TOTAL BARRA A]]+TBL_CalcDarwin[[#This Row],[PLOME MW TOTAL BARRA B]]</f>
        <v>2.077</v>
      </c>
      <c r="G123" s="48">
        <f>'Plantilla Datos'!D128</f>
        <v>5.2</v>
      </c>
      <c r="H123" s="48">
        <f>'Plantilla Datos'!E128</f>
        <v>6.7</v>
      </c>
      <c r="I123" s="49">
        <f>'Plantilla Datos'!F128</f>
        <v>17.7</v>
      </c>
      <c r="J123" s="47">
        <f>CEILING('Plantilla Datos'!$L$3*TBL_CalcDarwin[[#This Row],[Darwin Gusts
m/s]],0.5)</f>
        <v>5</v>
      </c>
      <c r="K123" s="47">
        <f>CEILING('Plantilla Datos'!$L$4*TBL_CalcDarwin[[#This Row],[Darwin Gusts
m/s]],0.5)</f>
        <v>6</v>
      </c>
      <c r="L123" s="47">
        <f>CEILING(TBL_CalcDarwin[[#This Row],[Darwin Gusts
m/s]],0.5)</f>
        <v>7</v>
      </c>
      <c r="M1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23" s="41">
        <f>INDEX(Curva_Temp[Temp],MATCH(TBL_CalcDarwin[[#This Row],[Darwin Temp.
°C]],Curva_Temp[Temp]))</f>
        <v>15</v>
      </c>
      <c r="R123" s="41">
        <f>INDEX(Curva_Temp[Warranted Power Curve for 
1.194Kg/m3 air density '[kW']
SG 5.0-145 (AM+1, 5.2MW) AT 
90M],MATCH(TBL_CalcDarwin[[#This Row],[Darwin Temp.
°C]],Curva_Temp[Temp]))</f>
        <v>5200</v>
      </c>
      <c r="S123" s="41" cm="1">
        <f t="array" ref="S123">INDEX(Curva_Temp[Temp],MATCH(TBL_CalcDarwin[[#This Row],[Darwin Temp.
°C]],Curva_Temp[Temp])+1)</f>
        <v>20</v>
      </c>
      <c r="T123" s="41" cm="1">
        <f t="array" ref="T123">INDEX(Curva_Temp[Warranted Power Curve for 
1.194Kg/m3 air density '[kW']
SG 5.0-145 (AM+1, 5.2MW) AT 
90M],MATCH(TBL_CalcDarwin[[#This Row],[Darwin Temp.
°C]],Curva_Temp[Temp])+1)</f>
        <v>5000</v>
      </c>
      <c r="U1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23" s="41">
        <f>INDEX(Curva_Temp[Temp],MATCH(TBL_CalcDarwin[[#This Row],[Darwin Temp.
°C]],Curva_Temp[Temp]))</f>
        <v>15</v>
      </c>
      <c r="Z123" s="41">
        <f>INDEX(Curva_Temp[Warranted Power Curve for 
1.194Kg/m3 air density '[kW']
SG 5.0-145 (AM 0, 5.0MW) AT 
90M],MATCH(TBL_CalcDarwin[[#This Row],[Darwin Temp.
°C]],Curva_Temp[Temp]))</f>
        <v>5000</v>
      </c>
      <c r="AA123" s="41" cm="1">
        <f t="array" ref="AA123">INDEX(Curva_Temp[Temp],MATCH(TBL_CalcDarwin[[#This Row],[Darwin Temp.
°C]],Curva_Temp[Temp])+1)</f>
        <v>20</v>
      </c>
      <c r="AB123" s="41" cm="1">
        <f t="array" ref="AB123">INDEX(Curva_Temp[Warranted Power Curve for 
1.194Kg/m3 air density '[kW']
SG 5.0-145 (AM 0, 5.0MW) AT 
90M],MATCH(TBL_CalcDarwin[[#This Row],[Darwin Temp.
°C]],Curva_Temp[Temp])+1)</f>
        <v>5000</v>
      </c>
      <c r="AC123" s="45">
        <f>HLOOKUP(TBL_CalcDarwin[[#This Row],[Fecha]],'Plantilla AEG ES'!$E$1:$HX$13,2,FALSE)</f>
        <v>5</v>
      </c>
      <c r="AD123" s="45">
        <f>HLOOKUP(TBL_CalcDarwin[[#This Row],[Fecha]],'Plantilla AEG ES'!$E$1:$HX$13,3,FALSE)</f>
        <v>7</v>
      </c>
      <c r="AE123" s="45">
        <f>HLOOKUP(TBL_CalcDarwin[[#This Row],[Fecha]],'Plantilla AEG ES'!$E$1:$HX$13,4,FALSE)</f>
        <v>11</v>
      </c>
      <c r="AF123" s="45">
        <f>HLOOKUP(TBL_CalcDarwin[[#This Row],[Fecha]],'Plantilla AEG ES'!$E$1:$HX$13,5,FALSE)</f>
        <v>1</v>
      </c>
      <c r="AG123" s="45">
        <f>HLOOKUP(TBL_CalcDarwin[[#This Row],[Fecha]],'Plantilla AEG ES'!$E$1:$HX$13,6,FALSE)</f>
        <v>1</v>
      </c>
      <c r="AH123" s="45">
        <f>HLOOKUP(TBL_CalcDarwin[[#This Row],[Fecha]],'Plantilla AEG ES'!$E$1:$HX$13,7,FALSE)</f>
        <v>0</v>
      </c>
      <c r="AI123" s="46">
        <f>HLOOKUP(TBL_CalcDarwin[[#This Row],[Fecha]],'Plantilla AEG ES'!$E$1:$HX$13,8,FALSE)</f>
        <v>0</v>
      </c>
      <c r="AJ123" s="46">
        <f>HLOOKUP(TBL_CalcDarwin[[#This Row],[Fecha]],'Plantilla AEG ES'!$E$1:$HX$13,9,FALSE)</f>
        <v>3</v>
      </c>
      <c r="AK123" s="46">
        <f>HLOOKUP(TBL_CalcDarwin[[#This Row],[Fecha]],'Plantilla AEG ES'!$E$1:$HX$13,10,FALSE)</f>
        <v>12</v>
      </c>
      <c r="AL123" s="46">
        <f>HLOOKUP(TBL_CalcDarwin[[#This Row],[Fecha]],'Plantilla AEG ES'!$E$1:$HX$13,11,FALSE)</f>
        <v>1</v>
      </c>
      <c r="AM123" s="46">
        <f>HLOOKUP(TBL_CalcDarwin[[#This Row],[Fecha]],'Plantilla AEG ES'!$E$1:$HX$13,12,FALSE)</f>
        <v>7</v>
      </c>
      <c r="AN123" s="46">
        <f>HLOOKUP(TBL_CalcDarwin[[#This Row],[Fecha]],'Plantilla AEG ES'!$E$1:$HX$13,13,FALSE)</f>
        <v>1</v>
      </c>
      <c r="AO123" s="37">
        <f>TBL_CalcDarwin[[#This Row],[Lomitas - Barra A - 5.2 - Cerro]]+TBL_CalcDarwin[[#This Row],[Lomitas - Barra A - 5.2 - Medio]]+TBL_CalcDarwin[[#This Row],[Lomitas - Barra A - 5.2 - Mar]]</f>
        <v>23</v>
      </c>
      <c r="AP1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23" s="37">
        <f>TBL_CalcDarwin[[#This Row],[Expansión - Barra A - 5.2 - Cerro]]+TBL_CalcDarwin[[#This Row],[Expansión - Barra A - 5.2 - Medio]]+TBL_CalcDarwin[[#This Row],[Expansión - Barra A - 5.2 - Mar]]</f>
        <v>2</v>
      </c>
      <c r="AT123" s="37">
        <f>TBL_CalcDarwin[[#This Row],[Expansión - Barra B - 5.2 - Cerro]]</f>
        <v>1</v>
      </c>
      <c r="AU1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23" s="29">
        <f>TBL_CalcDarwin[[#This Row],[Expansión - Barra B - 5.2 - Cerro]]*TBL_CalcDarwin[[#This Row],[AEG 5.2 MW Cerro]]</f>
        <v>0.54700000000000004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5">
        <f t="shared" si="6"/>
        <v>45589.083333333045</v>
      </c>
      <c r="C124" s="17">
        <f t="shared" si="11"/>
        <v>5.0833333333333348</v>
      </c>
      <c r="D124" s="34">
        <f>TBL_CalcDarwin[[#This Row],[Darwin PLOM
MW]]+TBL_CalcDarwin[[#This Row],[Darwin PLOME
MW]]</f>
        <v>63.076999999999998</v>
      </c>
      <c r="E124" s="34">
        <f>TBL_CalcDarwin[[#This Row],[PLOM MW TOTAL BARRA A]]+TBL_CalcDarwin[[#This Row],[PLOM MW TOTAL BARRA B]]</f>
        <v>61</v>
      </c>
      <c r="F124" s="34">
        <f>TBL_CalcDarwin[[#This Row],[PLOME MW TOTAL BARRA A]]+TBL_CalcDarwin[[#This Row],[PLOME MW TOTAL BARRA B]]</f>
        <v>2.077</v>
      </c>
      <c r="G124" s="48">
        <f>'Plantilla Datos'!D129</f>
        <v>5.4</v>
      </c>
      <c r="H124" s="48">
        <f>'Plantilla Datos'!E129</f>
        <v>6.9</v>
      </c>
      <c r="I124" s="49">
        <f>'Plantilla Datos'!F129</f>
        <v>17.5</v>
      </c>
      <c r="J124" s="47">
        <f>CEILING('Plantilla Datos'!$L$3*TBL_CalcDarwin[[#This Row],[Darwin Gusts
m/s]],0.5)</f>
        <v>5</v>
      </c>
      <c r="K124" s="47">
        <f>CEILING('Plantilla Datos'!$L$4*TBL_CalcDarwin[[#This Row],[Darwin Gusts
m/s]],0.5)</f>
        <v>6</v>
      </c>
      <c r="L124" s="47">
        <f>CEILING(TBL_CalcDarwin[[#This Row],[Darwin Gusts
m/s]],0.5)</f>
        <v>7</v>
      </c>
      <c r="M1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24" s="41">
        <f>INDEX(Curva_Temp[Temp],MATCH(TBL_CalcDarwin[[#This Row],[Darwin Temp.
°C]],Curva_Temp[Temp]))</f>
        <v>15</v>
      </c>
      <c r="R124" s="41">
        <f>INDEX(Curva_Temp[Warranted Power Curve for 
1.194Kg/m3 air density '[kW']
SG 5.0-145 (AM+1, 5.2MW) AT 
90M],MATCH(TBL_CalcDarwin[[#This Row],[Darwin Temp.
°C]],Curva_Temp[Temp]))</f>
        <v>5200</v>
      </c>
      <c r="S124" s="41" cm="1">
        <f t="array" ref="S124">INDEX(Curva_Temp[Temp],MATCH(TBL_CalcDarwin[[#This Row],[Darwin Temp.
°C]],Curva_Temp[Temp])+1)</f>
        <v>20</v>
      </c>
      <c r="T124" s="41" cm="1">
        <f t="array" ref="T124">INDEX(Curva_Temp[Warranted Power Curve for 
1.194Kg/m3 air density '[kW']
SG 5.0-145 (AM+1, 5.2MW) AT 
90M],MATCH(TBL_CalcDarwin[[#This Row],[Darwin Temp.
°C]],Curva_Temp[Temp])+1)</f>
        <v>5000</v>
      </c>
      <c r="U1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24" s="41">
        <f>INDEX(Curva_Temp[Temp],MATCH(TBL_CalcDarwin[[#This Row],[Darwin Temp.
°C]],Curva_Temp[Temp]))</f>
        <v>15</v>
      </c>
      <c r="Z124" s="41">
        <f>INDEX(Curva_Temp[Warranted Power Curve for 
1.194Kg/m3 air density '[kW']
SG 5.0-145 (AM 0, 5.0MW) AT 
90M],MATCH(TBL_CalcDarwin[[#This Row],[Darwin Temp.
°C]],Curva_Temp[Temp]))</f>
        <v>5000</v>
      </c>
      <c r="AA124" s="41" cm="1">
        <f t="array" ref="AA124">INDEX(Curva_Temp[Temp],MATCH(TBL_CalcDarwin[[#This Row],[Darwin Temp.
°C]],Curva_Temp[Temp])+1)</f>
        <v>20</v>
      </c>
      <c r="AB124" s="41" cm="1">
        <f t="array" ref="AB124">INDEX(Curva_Temp[Warranted Power Curve for 
1.194Kg/m3 air density '[kW']
SG 5.0-145 (AM 0, 5.0MW) AT 
90M],MATCH(TBL_CalcDarwin[[#This Row],[Darwin Temp.
°C]],Curva_Temp[Temp])+1)</f>
        <v>5000</v>
      </c>
      <c r="AC124" s="45">
        <f>HLOOKUP(TBL_CalcDarwin[[#This Row],[Fecha]],'Plantilla AEG ES'!$E$1:$HX$13,2,FALSE)</f>
        <v>5</v>
      </c>
      <c r="AD124" s="45">
        <f>HLOOKUP(TBL_CalcDarwin[[#This Row],[Fecha]],'Plantilla AEG ES'!$E$1:$HX$13,3,FALSE)</f>
        <v>7</v>
      </c>
      <c r="AE124" s="45">
        <f>HLOOKUP(TBL_CalcDarwin[[#This Row],[Fecha]],'Plantilla AEG ES'!$E$1:$HX$13,4,FALSE)</f>
        <v>11</v>
      </c>
      <c r="AF124" s="45">
        <f>HLOOKUP(TBL_CalcDarwin[[#This Row],[Fecha]],'Plantilla AEG ES'!$E$1:$HX$13,5,FALSE)</f>
        <v>1</v>
      </c>
      <c r="AG124" s="45">
        <f>HLOOKUP(TBL_CalcDarwin[[#This Row],[Fecha]],'Plantilla AEG ES'!$E$1:$HX$13,6,FALSE)</f>
        <v>1</v>
      </c>
      <c r="AH124" s="45">
        <f>HLOOKUP(TBL_CalcDarwin[[#This Row],[Fecha]],'Plantilla AEG ES'!$E$1:$HX$13,7,FALSE)</f>
        <v>0</v>
      </c>
      <c r="AI124" s="46">
        <f>HLOOKUP(TBL_CalcDarwin[[#This Row],[Fecha]],'Plantilla AEG ES'!$E$1:$HX$13,8,FALSE)</f>
        <v>0</v>
      </c>
      <c r="AJ124" s="46">
        <f>HLOOKUP(TBL_CalcDarwin[[#This Row],[Fecha]],'Plantilla AEG ES'!$E$1:$HX$13,9,FALSE)</f>
        <v>3</v>
      </c>
      <c r="AK124" s="46">
        <f>HLOOKUP(TBL_CalcDarwin[[#This Row],[Fecha]],'Plantilla AEG ES'!$E$1:$HX$13,10,FALSE)</f>
        <v>12</v>
      </c>
      <c r="AL124" s="46">
        <f>HLOOKUP(TBL_CalcDarwin[[#This Row],[Fecha]],'Plantilla AEG ES'!$E$1:$HX$13,11,FALSE)</f>
        <v>1</v>
      </c>
      <c r="AM124" s="46">
        <f>HLOOKUP(TBL_CalcDarwin[[#This Row],[Fecha]],'Plantilla AEG ES'!$E$1:$HX$13,12,FALSE)</f>
        <v>7</v>
      </c>
      <c r="AN124" s="46">
        <f>HLOOKUP(TBL_CalcDarwin[[#This Row],[Fecha]],'Plantilla AEG ES'!$E$1:$HX$13,13,FALSE)</f>
        <v>1</v>
      </c>
      <c r="AO124" s="37">
        <f>TBL_CalcDarwin[[#This Row],[Lomitas - Barra A - 5.2 - Cerro]]+TBL_CalcDarwin[[#This Row],[Lomitas - Barra A - 5.2 - Medio]]+TBL_CalcDarwin[[#This Row],[Lomitas - Barra A - 5.2 - Mar]]</f>
        <v>23</v>
      </c>
      <c r="AP1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24" s="37">
        <f>TBL_CalcDarwin[[#This Row],[Expansión - Barra A - 5.2 - Cerro]]+TBL_CalcDarwin[[#This Row],[Expansión - Barra A - 5.2 - Medio]]+TBL_CalcDarwin[[#This Row],[Expansión - Barra A - 5.2 - Mar]]</f>
        <v>2</v>
      </c>
      <c r="AT124" s="37">
        <f>TBL_CalcDarwin[[#This Row],[Expansión - Barra B - 5.2 - Cerro]]</f>
        <v>1</v>
      </c>
      <c r="AU1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24" s="29">
        <f>TBL_CalcDarwin[[#This Row],[Expansión - Barra B - 5.2 - Cerro]]*TBL_CalcDarwin[[#This Row],[AEG 5.2 MW Cerro]]</f>
        <v>0.54700000000000004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5">
        <f t="shared" si="6"/>
        <v>45589.124999999709</v>
      </c>
      <c r="C125" s="17">
        <f>C124+TIME(1,0,0)</f>
        <v>5.1250000000000018</v>
      </c>
      <c r="D125" s="34">
        <f>TBL_CalcDarwin[[#This Row],[Darwin PLOM
MW]]+TBL_CalcDarwin[[#This Row],[Darwin PLOME
MW]]</f>
        <v>79.186999999999998</v>
      </c>
      <c r="E125" s="34">
        <f>TBL_CalcDarwin[[#This Row],[PLOM MW TOTAL BARRA A]]+TBL_CalcDarwin[[#This Row],[PLOM MW TOTAL BARRA B]]</f>
        <v>76.430999999999997</v>
      </c>
      <c r="F125" s="34">
        <f>TBL_CalcDarwin[[#This Row],[PLOME MW TOTAL BARRA A]]+TBL_CalcDarwin[[#This Row],[PLOME MW TOTAL BARRA B]]</f>
        <v>2.7560000000000002</v>
      </c>
      <c r="G125" s="48">
        <f>'Plantilla Datos'!D130</f>
        <v>5.7</v>
      </c>
      <c r="H125" s="48">
        <f>'Plantilla Datos'!E130</f>
        <v>7.2</v>
      </c>
      <c r="I125" s="49">
        <f>'Plantilla Datos'!F130</f>
        <v>17.3</v>
      </c>
      <c r="J125" s="47">
        <f>CEILING('Plantilla Datos'!$L$3*TBL_CalcDarwin[[#This Row],[Darwin Gusts
m/s]],0.5)</f>
        <v>5.5</v>
      </c>
      <c r="K125" s="47">
        <f>CEILING('Plantilla Datos'!$L$4*TBL_CalcDarwin[[#This Row],[Darwin Gusts
m/s]],0.5)</f>
        <v>6.5</v>
      </c>
      <c r="L125" s="47">
        <f>CEILING(TBL_CalcDarwin[[#This Row],[Darwin Gusts
m/s]],0.5)</f>
        <v>7.5</v>
      </c>
      <c r="M1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25" s="41">
        <f>INDEX(Curva_Temp[Temp],MATCH(TBL_CalcDarwin[[#This Row],[Darwin Temp.
°C]],Curva_Temp[Temp]))</f>
        <v>15</v>
      </c>
      <c r="R125" s="41">
        <f>INDEX(Curva_Temp[Warranted Power Curve for 
1.194Kg/m3 air density '[kW']
SG 5.0-145 (AM+1, 5.2MW) AT 
90M],MATCH(TBL_CalcDarwin[[#This Row],[Darwin Temp.
°C]],Curva_Temp[Temp]))</f>
        <v>5200</v>
      </c>
      <c r="S125" s="41" cm="1">
        <f t="array" ref="S125">INDEX(Curva_Temp[Temp],MATCH(TBL_CalcDarwin[[#This Row],[Darwin Temp.
°C]],Curva_Temp[Temp])+1)</f>
        <v>20</v>
      </c>
      <c r="T125" s="41" cm="1">
        <f t="array" ref="T125">INDEX(Curva_Temp[Warranted Power Curve for 
1.194Kg/m3 air density '[kW']
SG 5.0-145 (AM+1, 5.2MW) AT 
90M],MATCH(TBL_CalcDarwin[[#This Row],[Darwin Temp.
°C]],Curva_Temp[Temp])+1)</f>
        <v>5000</v>
      </c>
      <c r="U1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25" s="41">
        <f>INDEX(Curva_Temp[Temp],MATCH(TBL_CalcDarwin[[#This Row],[Darwin Temp.
°C]],Curva_Temp[Temp]))</f>
        <v>15</v>
      </c>
      <c r="Z125" s="41">
        <f>INDEX(Curva_Temp[Warranted Power Curve for 
1.194Kg/m3 air density '[kW']
SG 5.0-145 (AM 0, 5.0MW) AT 
90M],MATCH(TBL_CalcDarwin[[#This Row],[Darwin Temp.
°C]],Curva_Temp[Temp]))</f>
        <v>5000</v>
      </c>
      <c r="AA125" s="41" cm="1">
        <f t="array" ref="AA125">INDEX(Curva_Temp[Temp],MATCH(TBL_CalcDarwin[[#This Row],[Darwin Temp.
°C]],Curva_Temp[Temp])+1)</f>
        <v>20</v>
      </c>
      <c r="AB125" s="41" cm="1">
        <f t="array" ref="AB125">INDEX(Curva_Temp[Warranted Power Curve for 
1.194Kg/m3 air density '[kW']
SG 5.0-145 (AM 0, 5.0MW) AT 
90M],MATCH(TBL_CalcDarwin[[#This Row],[Darwin Temp.
°C]],Curva_Temp[Temp])+1)</f>
        <v>5000</v>
      </c>
      <c r="AC125" s="45">
        <f>HLOOKUP(TBL_CalcDarwin[[#This Row],[Fecha]],'Plantilla AEG ES'!$E$1:$HX$13,2,FALSE)</f>
        <v>5</v>
      </c>
      <c r="AD125" s="45">
        <f>HLOOKUP(TBL_CalcDarwin[[#This Row],[Fecha]],'Plantilla AEG ES'!$E$1:$HX$13,3,FALSE)</f>
        <v>7</v>
      </c>
      <c r="AE125" s="45">
        <f>HLOOKUP(TBL_CalcDarwin[[#This Row],[Fecha]],'Plantilla AEG ES'!$E$1:$HX$13,4,FALSE)</f>
        <v>11</v>
      </c>
      <c r="AF125" s="45">
        <f>HLOOKUP(TBL_CalcDarwin[[#This Row],[Fecha]],'Plantilla AEG ES'!$E$1:$HX$13,5,FALSE)</f>
        <v>1</v>
      </c>
      <c r="AG125" s="45">
        <f>HLOOKUP(TBL_CalcDarwin[[#This Row],[Fecha]],'Plantilla AEG ES'!$E$1:$HX$13,6,FALSE)</f>
        <v>1</v>
      </c>
      <c r="AH125" s="45">
        <f>HLOOKUP(TBL_CalcDarwin[[#This Row],[Fecha]],'Plantilla AEG ES'!$E$1:$HX$13,7,FALSE)</f>
        <v>0</v>
      </c>
      <c r="AI125" s="46">
        <f>HLOOKUP(TBL_CalcDarwin[[#This Row],[Fecha]],'Plantilla AEG ES'!$E$1:$HX$13,8,FALSE)</f>
        <v>0</v>
      </c>
      <c r="AJ125" s="46">
        <f>HLOOKUP(TBL_CalcDarwin[[#This Row],[Fecha]],'Plantilla AEG ES'!$E$1:$HX$13,9,FALSE)</f>
        <v>3</v>
      </c>
      <c r="AK125" s="46">
        <f>HLOOKUP(TBL_CalcDarwin[[#This Row],[Fecha]],'Plantilla AEG ES'!$E$1:$HX$13,10,FALSE)</f>
        <v>12</v>
      </c>
      <c r="AL125" s="46">
        <f>HLOOKUP(TBL_CalcDarwin[[#This Row],[Fecha]],'Plantilla AEG ES'!$E$1:$HX$13,11,FALSE)</f>
        <v>1</v>
      </c>
      <c r="AM125" s="46">
        <f>HLOOKUP(TBL_CalcDarwin[[#This Row],[Fecha]],'Plantilla AEG ES'!$E$1:$HX$13,12,FALSE)</f>
        <v>7</v>
      </c>
      <c r="AN125" s="46">
        <f>HLOOKUP(TBL_CalcDarwin[[#This Row],[Fecha]],'Plantilla AEG ES'!$E$1:$HX$13,13,FALSE)</f>
        <v>1</v>
      </c>
      <c r="AO125" s="37">
        <f>TBL_CalcDarwin[[#This Row],[Lomitas - Barra A - 5.2 - Cerro]]+TBL_CalcDarwin[[#This Row],[Lomitas - Barra A - 5.2 - Medio]]+TBL_CalcDarwin[[#This Row],[Lomitas - Barra A - 5.2 - Mar]]</f>
        <v>23</v>
      </c>
      <c r="AP1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25" s="37">
        <f>TBL_CalcDarwin[[#This Row],[Expansión - Barra A - 5.2 - Cerro]]+TBL_CalcDarwin[[#This Row],[Expansión - Barra A - 5.2 - Medio]]+TBL_CalcDarwin[[#This Row],[Expansión - Barra A - 5.2 - Mar]]</f>
        <v>2</v>
      </c>
      <c r="AT125" s="37">
        <f>TBL_CalcDarwin[[#This Row],[Expansión - Barra B - 5.2 - Cerro]]</f>
        <v>1</v>
      </c>
      <c r="AU1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25" s="29">
        <f>TBL_CalcDarwin[[#This Row],[Expansión - Barra B - 5.2 - Cerro]]*TBL_CalcDarwin[[#This Row],[AEG 5.2 MW Cerro]]</f>
        <v>0.745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5">
        <f t="shared" si="6"/>
        <v>45589.166666666373</v>
      </c>
      <c r="C126" s="17">
        <f t="shared" ref="C126:C142" si="12">C125+TIME(1,0,0)</f>
        <v>5.1666666666666687</v>
      </c>
      <c r="D126" s="34">
        <f>TBL_CalcDarwin[[#This Row],[Darwin PLOM
MW]]+TBL_CalcDarwin[[#This Row],[Darwin PLOME
MW]]</f>
        <v>79.186999999999998</v>
      </c>
      <c r="E126" s="34">
        <f>TBL_CalcDarwin[[#This Row],[PLOM MW TOTAL BARRA A]]+TBL_CalcDarwin[[#This Row],[PLOM MW TOTAL BARRA B]]</f>
        <v>76.430999999999997</v>
      </c>
      <c r="F126" s="34">
        <f>TBL_CalcDarwin[[#This Row],[PLOME MW TOTAL BARRA A]]+TBL_CalcDarwin[[#This Row],[PLOME MW TOTAL BARRA B]]</f>
        <v>2.7560000000000002</v>
      </c>
      <c r="G126" s="48">
        <f>'Plantilla Datos'!D131</f>
        <v>5.9</v>
      </c>
      <c r="H126" s="48">
        <f>'Plantilla Datos'!E131</f>
        <v>7.5</v>
      </c>
      <c r="I126" s="49">
        <f>'Plantilla Datos'!F131</f>
        <v>17.100000000000001</v>
      </c>
      <c r="J126" s="47">
        <f>CEILING('Plantilla Datos'!$L$3*TBL_CalcDarwin[[#This Row],[Darwin Gusts
m/s]],0.5)</f>
        <v>5.5</v>
      </c>
      <c r="K126" s="47">
        <f>CEILING('Plantilla Datos'!$L$4*TBL_CalcDarwin[[#This Row],[Darwin Gusts
m/s]],0.5)</f>
        <v>6.5</v>
      </c>
      <c r="L126" s="47">
        <f>CEILING(TBL_CalcDarwin[[#This Row],[Darwin Gusts
m/s]],0.5)</f>
        <v>7.5</v>
      </c>
      <c r="M1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26" s="41">
        <f>INDEX(Curva_Temp[Temp],MATCH(TBL_CalcDarwin[[#This Row],[Darwin Temp.
°C]],Curva_Temp[Temp]))</f>
        <v>15</v>
      </c>
      <c r="R126" s="41">
        <f>INDEX(Curva_Temp[Warranted Power Curve for 
1.194Kg/m3 air density '[kW']
SG 5.0-145 (AM+1, 5.2MW) AT 
90M],MATCH(TBL_CalcDarwin[[#This Row],[Darwin Temp.
°C]],Curva_Temp[Temp]))</f>
        <v>5200</v>
      </c>
      <c r="S126" s="41" cm="1">
        <f t="array" ref="S126">INDEX(Curva_Temp[Temp],MATCH(TBL_CalcDarwin[[#This Row],[Darwin Temp.
°C]],Curva_Temp[Temp])+1)</f>
        <v>20</v>
      </c>
      <c r="T126" s="41" cm="1">
        <f t="array" ref="T126">INDEX(Curva_Temp[Warranted Power Curve for 
1.194Kg/m3 air density '[kW']
SG 5.0-145 (AM+1, 5.2MW) AT 
90M],MATCH(TBL_CalcDarwin[[#This Row],[Darwin Temp.
°C]],Curva_Temp[Temp])+1)</f>
        <v>5000</v>
      </c>
      <c r="U1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26" s="41">
        <f>INDEX(Curva_Temp[Temp],MATCH(TBL_CalcDarwin[[#This Row],[Darwin Temp.
°C]],Curva_Temp[Temp]))</f>
        <v>15</v>
      </c>
      <c r="Z126" s="41">
        <f>INDEX(Curva_Temp[Warranted Power Curve for 
1.194Kg/m3 air density '[kW']
SG 5.0-145 (AM 0, 5.0MW) AT 
90M],MATCH(TBL_CalcDarwin[[#This Row],[Darwin Temp.
°C]],Curva_Temp[Temp]))</f>
        <v>5000</v>
      </c>
      <c r="AA126" s="41" cm="1">
        <f t="array" ref="AA126">INDEX(Curva_Temp[Temp],MATCH(TBL_CalcDarwin[[#This Row],[Darwin Temp.
°C]],Curva_Temp[Temp])+1)</f>
        <v>20</v>
      </c>
      <c r="AB126" s="41" cm="1">
        <f t="array" ref="AB126">INDEX(Curva_Temp[Warranted Power Curve for 
1.194Kg/m3 air density '[kW']
SG 5.0-145 (AM 0, 5.0MW) AT 
90M],MATCH(TBL_CalcDarwin[[#This Row],[Darwin Temp.
°C]],Curva_Temp[Temp])+1)</f>
        <v>5000</v>
      </c>
      <c r="AC126" s="45">
        <f>HLOOKUP(TBL_CalcDarwin[[#This Row],[Fecha]],'Plantilla AEG ES'!$E$1:$HX$13,2,FALSE)</f>
        <v>5</v>
      </c>
      <c r="AD126" s="45">
        <f>HLOOKUP(TBL_CalcDarwin[[#This Row],[Fecha]],'Plantilla AEG ES'!$E$1:$HX$13,3,FALSE)</f>
        <v>7</v>
      </c>
      <c r="AE126" s="45">
        <f>HLOOKUP(TBL_CalcDarwin[[#This Row],[Fecha]],'Plantilla AEG ES'!$E$1:$HX$13,4,FALSE)</f>
        <v>11</v>
      </c>
      <c r="AF126" s="45">
        <f>HLOOKUP(TBL_CalcDarwin[[#This Row],[Fecha]],'Plantilla AEG ES'!$E$1:$HX$13,5,FALSE)</f>
        <v>1</v>
      </c>
      <c r="AG126" s="45">
        <f>HLOOKUP(TBL_CalcDarwin[[#This Row],[Fecha]],'Plantilla AEG ES'!$E$1:$HX$13,6,FALSE)</f>
        <v>1</v>
      </c>
      <c r="AH126" s="45">
        <f>HLOOKUP(TBL_CalcDarwin[[#This Row],[Fecha]],'Plantilla AEG ES'!$E$1:$HX$13,7,FALSE)</f>
        <v>0</v>
      </c>
      <c r="AI126" s="46">
        <f>HLOOKUP(TBL_CalcDarwin[[#This Row],[Fecha]],'Plantilla AEG ES'!$E$1:$HX$13,8,FALSE)</f>
        <v>0</v>
      </c>
      <c r="AJ126" s="46">
        <f>HLOOKUP(TBL_CalcDarwin[[#This Row],[Fecha]],'Plantilla AEG ES'!$E$1:$HX$13,9,FALSE)</f>
        <v>3</v>
      </c>
      <c r="AK126" s="46">
        <f>HLOOKUP(TBL_CalcDarwin[[#This Row],[Fecha]],'Plantilla AEG ES'!$E$1:$HX$13,10,FALSE)</f>
        <v>12</v>
      </c>
      <c r="AL126" s="46">
        <f>HLOOKUP(TBL_CalcDarwin[[#This Row],[Fecha]],'Plantilla AEG ES'!$E$1:$HX$13,11,FALSE)</f>
        <v>1</v>
      </c>
      <c r="AM126" s="46">
        <f>HLOOKUP(TBL_CalcDarwin[[#This Row],[Fecha]],'Plantilla AEG ES'!$E$1:$HX$13,12,FALSE)</f>
        <v>7</v>
      </c>
      <c r="AN126" s="46">
        <f>HLOOKUP(TBL_CalcDarwin[[#This Row],[Fecha]],'Plantilla AEG ES'!$E$1:$HX$13,13,FALSE)</f>
        <v>1</v>
      </c>
      <c r="AO126" s="37">
        <f>TBL_CalcDarwin[[#This Row],[Lomitas - Barra A - 5.2 - Cerro]]+TBL_CalcDarwin[[#This Row],[Lomitas - Barra A - 5.2 - Medio]]+TBL_CalcDarwin[[#This Row],[Lomitas - Barra A - 5.2 - Mar]]</f>
        <v>23</v>
      </c>
      <c r="AP1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26" s="37">
        <f>TBL_CalcDarwin[[#This Row],[Expansión - Barra A - 5.2 - Cerro]]+TBL_CalcDarwin[[#This Row],[Expansión - Barra A - 5.2 - Medio]]+TBL_CalcDarwin[[#This Row],[Expansión - Barra A - 5.2 - Mar]]</f>
        <v>2</v>
      </c>
      <c r="AT126" s="37">
        <f>TBL_CalcDarwin[[#This Row],[Expansión - Barra B - 5.2 - Cerro]]</f>
        <v>1</v>
      </c>
      <c r="AU1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26" s="29">
        <f>TBL_CalcDarwin[[#This Row],[Expansión - Barra B - 5.2 - Cerro]]*TBL_CalcDarwin[[#This Row],[AEG 5.2 MW Cerro]]</f>
        <v>0.745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5">
        <f t="shared" si="6"/>
        <v>45589.208333333037</v>
      </c>
      <c r="C127" s="17">
        <f t="shared" si="12"/>
        <v>5.2083333333333357</v>
      </c>
      <c r="D127" s="34">
        <f>TBL_CalcDarwin[[#This Row],[Darwin PLOM
MW]]+TBL_CalcDarwin[[#This Row],[Darwin PLOME
MW]]</f>
        <v>97.623000000000005</v>
      </c>
      <c r="E127" s="34">
        <f>TBL_CalcDarwin[[#This Row],[PLOM MW TOTAL BARRA A]]+TBL_CalcDarwin[[#This Row],[PLOM MW TOTAL BARRA B]]</f>
        <v>94.06</v>
      </c>
      <c r="F127" s="34">
        <f>TBL_CalcDarwin[[#This Row],[PLOME MW TOTAL BARRA A]]+TBL_CalcDarwin[[#This Row],[PLOME MW TOTAL BARRA B]]</f>
        <v>3.5630000000000002</v>
      </c>
      <c r="G127" s="48">
        <f>'Plantilla Datos'!D132</f>
        <v>6.1</v>
      </c>
      <c r="H127" s="48">
        <f>'Plantilla Datos'!E132</f>
        <v>7.8</v>
      </c>
      <c r="I127" s="49">
        <f>'Plantilla Datos'!F132</f>
        <v>17</v>
      </c>
      <c r="J127" s="47">
        <f>CEILING('Plantilla Datos'!$L$3*TBL_CalcDarwin[[#This Row],[Darwin Gusts
m/s]],0.5)</f>
        <v>6</v>
      </c>
      <c r="K127" s="47">
        <f>CEILING('Plantilla Datos'!$L$4*TBL_CalcDarwin[[#This Row],[Darwin Gusts
m/s]],0.5)</f>
        <v>7</v>
      </c>
      <c r="L127" s="47">
        <f>CEILING(TBL_CalcDarwin[[#This Row],[Darwin Gusts
m/s]],0.5)</f>
        <v>8</v>
      </c>
      <c r="M1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27" s="41">
        <f>INDEX(Curva_Temp[Temp],MATCH(TBL_CalcDarwin[[#This Row],[Darwin Temp.
°C]],Curva_Temp[Temp]))</f>
        <v>15</v>
      </c>
      <c r="R127" s="41">
        <f>INDEX(Curva_Temp[Warranted Power Curve for 
1.194Kg/m3 air density '[kW']
SG 5.0-145 (AM+1, 5.2MW) AT 
90M],MATCH(TBL_CalcDarwin[[#This Row],[Darwin Temp.
°C]],Curva_Temp[Temp]))</f>
        <v>5200</v>
      </c>
      <c r="S127" s="41" cm="1">
        <f t="array" ref="S127">INDEX(Curva_Temp[Temp],MATCH(TBL_CalcDarwin[[#This Row],[Darwin Temp.
°C]],Curva_Temp[Temp])+1)</f>
        <v>20</v>
      </c>
      <c r="T127" s="41" cm="1">
        <f t="array" ref="T127">INDEX(Curva_Temp[Warranted Power Curve for 
1.194Kg/m3 air density '[kW']
SG 5.0-145 (AM+1, 5.2MW) AT 
90M],MATCH(TBL_CalcDarwin[[#This Row],[Darwin Temp.
°C]],Curva_Temp[Temp])+1)</f>
        <v>5000</v>
      </c>
      <c r="U1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27" s="41">
        <f>INDEX(Curva_Temp[Temp],MATCH(TBL_CalcDarwin[[#This Row],[Darwin Temp.
°C]],Curva_Temp[Temp]))</f>
        <v>15</v>
      </c>
      <c r="Z127" s="41">
        <f>INDEX(Curva_Temp[Warranted Power Curve for 
1.194Kg/m3 air density '[kW']
SG 5.0-145 (AM 0, 5.0MW) AT 
90M],MATCH(TBL_CalcDarwin[[#This Row],[Darwin Temp.
°C]],Curva_Temp[Temp]))</f>
        <v>5000</v>
      </c>
      <c r="AA127" s="41" cm="1">
        <f t="array" ref="AA127">INDEX(Curva_Temp[Temp],MATCH(TBL_CalcDarwin[[#This Row],[Darwin Temp.
°C]],Curva_Temp[Temp])+1)</f>
        <v>20</v>
      </c>
      <c r="AB127" s="41" cm="1">
        <f t="array" ref="AB127">INDEX(Curva_Temp[Warranted Power Curve for 
1.194Kg/m3 air density '[kW']
SG 5.0-145 (AM 0, 5.0MW) AT 
90M],MATCH(TBL_CalcDarwin[[#This Row],[Darwin Temp.
°C]],Curva_Temp[Temp])+1)</f>
        <v>5000</v>
      </c>
      <c r="AC127" s="45">
        <f>HLOOKUP(TBL_CalcDarwin[[#This Row],[Fecha]],'Plantilla AEG ES'!$E$1:$HX$13,2,FALSE)</f>
        <v>5</v>
      </c>
      <c r="AD127" s="45">
        <f>HLOOKUP(TBL_CalcDarwin[[#This Row],[Fecha]],'Plantilla AEG ES'!$E$1:$HX$13,3,FALSE)</f>
        <v>7</v>
      </c>
      <c r="AE127" s="45">
        <f>HLOOKUP(TBL_CalcDarwin[[#This Row],[Fecha]],'Plantilla AEG ES'!$E$1:$HX$13,4,FALSE)</f>
        <v>11</v>
      </c>
      <c r="AF127" s="45">
        <f>HLOOKUP(TBL_CalcDarwin[[#This Row],[Fecha]],'Plantilla AEG ES'!$E$1:$HX$13,5,FALSE)</f>
        <v>1</v>
      </c>
      <c r="AG127" s="45">
        <f>HLOOKUP(TBL_CalcDarwin[[#This Row],[Fecha]],'Plantilla AEG ES'!$E$1:$HX$13,6,FALSE)</f>
        <v>1</v>
      </c>
      <c r="AH127" s="45">
        <f>HLOOKUP(TBL_CalcDarwin[[#This Row],[Fecha]],'Plantilla AEG ES'!$E$1:$HX$13,7,FALSE)</f>
        <v>0</v>
      </c>
      <c r="AI127" s="46">
        <f>HLOOKUP(TBL_CalcDarwin[[#This Row],[Fecha]],'Plantilla AEG ES'!$E$1:$HX$13,8,FALSE)</f>
        <v>0</v>
      </c>
      <c r="AJ127" s="46">
        <f>HLOOKUP(TBL_CalcDarwin[[#This Row],[Fecha]],'Plantilla AEG ES'!$E$1:$HX$13,9,FALSE)</f>
        <v>3</v>
      </c>
      <c r="AK127" s="46">
        <f>HLOOKUP(TBL_CalcDarwin[[#This Row],[Fecha]],'Plantilla AEG ES'!$E$1:$HX$13,10,FALSE)</f>
        <v>12</v>
      </c>
      <c r="AL127" s="46">
        <f>HLOOKUP(TBL_CalcDarwin[[#This Row],[Fecha]],'Plantilla AEG ES'!$E$1:$HX$13,11,FALSE)</f>
        <v>1</v>
      </c>
      <c r="AM127" s="46">
        <f>HLOOKUP(TBL_CalcDarwin[[#This Row],[Fecha]],'Plantilla AEG ES'!$E$1:$HX$13,12,FALSE)</f>
        <v>7</v>
      </c>
      <c r="AN127" s="46">
        <f>HLOOKUP(TBL_CalcDarwin[[#This Row],[Fecha]],'Plantilla AEG ES'!$E$1:$HX$13,13,FALSE)</f>
        <v>1</v>
      </c>
      <c r="AO127" s="37">
        <f>TBL_CalcDarwin[[#This Row],[Lomitas - Barra A - 5.2 - Cerro]]+TBL_CalcDarwin[[#This Row],[Lomitas - Barra A - 5.2 - Medio]]+TBL_CalcDarwin[[#This Row],[Lomitas - Barra A - 5.2 - Mar]]</f>
        <v>23</v>
      </c>
      <c r="AP1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27" s="37">
        <f>TBL_CalcDarwin[[#This Row],[Expansión - Barra A - 5.2 - Cerro]]+TBL_CalcDarwin[[#This Row],[Expansión - Barra A - 5.2 - Medio]]+TBL_CalcDarwin[[#This Row],[Expansión - Barra A - 5.2 - Mar]]</f>
        <v>2</v>
      </c>
      <c r="AT127" s="37">
        <f>TBL_CalcDarwin[[#This Row],[Expansión - Barra B - 5.2 - Cerro]]</f>
        <v>1</v>
      </c>
      <c r="AU1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27" s="29">
        <f>TBL_CalcDarwin[[#This Row],[Expansión - Barra B - 5.2 - Cerro]]*TBL_CalcDarwin[[#This Row],[AEG 5.2 MW Cerro]]</f>
        <v>0.98299999999999998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5">
        <f t="shared" si="6"/>
        <v>45589.249999999702</v>
      </c>
      <c r="C128" s="17">
        <f t="shared" si="12"/>
        <v>5.2500000000000027</v>
      </c>
      <c r="D128" s="34">
        <f>TBL_CalcDarwin[[#This Row],[Darwin PLOM
MW]]+TBL_CalcDarwin[[#This Row],[Darwin PLOME
MW]]</f>
        <v>97.623000000000005</v>
      </c>
      <c r="E128" s="34">
        <f>TBL_CalcDarwin[[#This Row],[PLOM MW TOTAL BARRA A]]+TBL_CalcDarwin[[#This Row],[PLOM MW TOTAL BARRA B]]</f>
        <v>94.06</v>
      </c>
      <c r="F128" s="34">
        <f>TBL_CalcDarwin[[#This Row],[PLOME MW TOTAL BARRA A]]+TBL_CalcDarwin[[#This Row],[PLOME MW TOTAL BARRA B]]</f>
        <v>3.5630000000000002</v>
      </c>
      <c r="G128" s="48">
        <f>'Plantilla Datos'!D133</f>
        <v>6.3</v>
      </c>
      <c r="H128" s="48">
        <f>'Plantilla Datos'!E133</f>
        <v>8</v>
      </c>
      <c r="I128" s="49">
        <f>'Plantilla Datos'!F133</f>
        <v>17</v>
      </c>
      <c r="J128" s="47">
        <f>CEILING('Plantilla Datos'!$L$3*TBL_CalcDarwin[[#This Row],[Darwin Gusts
m/s]],0.5)</f>
        <v>6</v>
      </c>
      <c r="K128" s="47">
        <f>CEILING('Plantilla Datos'!$L$4*TBL_CalcDarwin[[#This Row],[Darwin Gusts
m/s]],0.5)</f>
        <v>7</v>
      </c>
      <c r="L128" s="47">
        <f>CEILING(TBL_CalcDarwin[[#This Row],[Darwin Gusts
m/s]],0.5)</f>
        <v>8</v>
      </c>
      <c r="M1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28" s="41">
        <f>INDEX(Curva_Temp[Temp],MATCH(TBL_CalcDarwin[[#This Row],[Darwin Temp.
°C]],Curva_Temp[Temp]))</f>
        <v>15</v>
      </c>
      <c r="R128" s="41">
        <f>INDEX(Curva_Temp[Warranted Power Curve for 
1.194Kg/m3 air density '[kW']
SG 5.0-145 (AM+1, 5.2MW) AT 
90M],MATCH(TBL_CalcDarwin[[#This Row],[Darwin Temp.
°C]],Curva_Temp[Temp]))</f>
        <v>5200</v>
      </c>
      <c r="S128" s="41" cm="1">
        <f t="array" ref="S128">INDEX(Curva_Temp[Temp],MATCH(TBL_CalcDarwin[[#This Row],[Darwin Temp.
°C]],Curva_Temp[Temp])+1)</f>
        <v>20</v>
      </c>
      <c r="T128" s="41" cm="1">
        <f t="array" ref="T128">INDEX(Curva_Temp[Warranted Power Curve for 
1.194Kg/m3 air density '[kW']
SG 5.0-145 (AM+1, 5.2MW) AT 
90M],MATCH(TBL_CalcDarwin[[#This Row],[Darwin Temp.
°C]],Curva_Temp[Temp])+1)</f>
        <v>5000</v>
      </c>
      <c r="U1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28" s="41">
        <f>INDEX(Curva_Temp[Temp],MATCH(TBL_CalcDarwin[[#This Row],[Darwin Temp.
°C]],Curva_Temp[Temp]))</f>
        <v>15</v>
      </c>
      <c r="Z128" s="41">
        <f>INDEX(Curva_Temp[Warranted Power Curve for 
1.194Kg/m3 air density '[kW']
SG 5.0-145 (AM 0, 5.0MW) AT 
90M],MATCH(TBL_CalcDarwin[[#This Row],[Darwin Temp.
°C]],Curva_Temp[Temp]))</f>
        <v>5000</v>
      </c>
      <c r="AA128" s="41" cm="1">
        <f t="array" ref="AA128">INDEX(Curva_Temp[Temp],MATCH(TBL_CalcDarwin[[#This Row],[Darwin Temp.
°C]],Curva_Temp[Temp])+1)</f>
        <v>20</v>
      </c>
      <c r="AB128" s="41" cm="1">
        <f t="array" ref="AB128">INDEX(Curva_Temp[Warranted Power Curve for 
1.194Kg/m3 air density '[kW']
SG 5.0-145 (AM 0, 5.0MW) AT 
90M],MATCH(TBL_CalcDarwin[[#This Row],[Darwin Temp.
°C]],Curva_Temp[Temp])+1)</f>
        <v>5000</v>
      </c>
      <c r="AC128" s="45">
        <f>HLOOKUP(TBL_CalcDarwin[[#This Row],[Fecha]],'Plantilla AEG ES'!$E$1:$HX$13,2,FALSE)</f>
        <v>5</v>
      </c>
      <c r="AD128" s="45">
        <f>HLOOKUP(TBL_CalcDarwin[[#This Row],[Fecha]],'Plantilla AEG ES'!$E$1:$HX$13,3,FALSE)</f>
        <v>7</v>
      </c>
      <c r="AE128" s="45">
        <f>HLOOKUP(TBL_CalcDarwin[[#This Row],[Fecha]],'Plantilla AEG ES'!$E$1:$HX$13,4,FALSE)</f>
        <v>11</v>
      </c>
      <c r="AF128" s="45">
        <f>HLOOKUP(TBL_CalcDarwin[[#This Row],[Fecha]],'Plantilla AEG ES'!$E$1:$HX$13,5,FALSE)</f>
        <v>1</v>
      </c>
      <c r="AG128" s="45">
        <f>HLOOKUP(TBL_CalcDarwin[[#This Row],[Fecha]],'Plantilla AEG ES'!$E$1:$HX$13,6,FALSE)</f>
        <v>1</v>
      </c>
      <c r="AH128" s="45">
        <f>HLOOKUP(TBL_CalcDarwin[[#This Row],[Fecha]],'Plantilla AEG ES'!$E$1:$HX$13,7,FALSE)</f>
        <v>0</v>
      </c>
      <c r="AI128" s="46">
        <f>HLOOKUP(TBL_CalcDarwin[[#This Row],[Fecha]],'Plantilla AEG ES'!$E$1:$HX$13,8,FALSE)</f>
        <v>0</v>
      </c>
      <c r="AJ128" s="46">
        <f>HLOOKUP(TBL_CalcDarwin[[#This Row],[Fecha]],'Plantilla AEG ES'!$E$1:$HX$13,9,FALSE)</f>
        <v>3</v>
      </c>
      <c r="AK128" s="46">
        <f>HLOOKUP(TBL_CalcDarwin[[#This Row],[Fecha]],'Plantilla AEG ES'!$E$1:$HX$13,10,FALSE)</f>
        <v>12</v>
      </c>
      <c r="AL128" s="46">
        <f>HLOOKUP(TBL_CalcDarwin[[#This Row],[Fecha]],'Plantilla AEG ES'!$E$1:$HX$13,11,FALSE)</f>
        <v>1</v>
      </c>
      <c r="AM128" s="46">
        <f>HLOOKUP(TBL_CalcDarwin[[#This Row],[Fecha]],'Plantilla AEG ES'!$E$1:$HX$13,12,FALSE)</f>
        <v>7</v>
      </c>
      <c r="AN128" s="46">
        <f>HLOOKUP(TBL_CalcDarwin[[#This Row],[Fecha]],'Plantilla AEG ES'!$E$1:$HX$13,13,FALSE)</f>
        <v>1</v>
      </c>
      <c r="AO128" s="37">
        <f>TBL_CalcDarwin[[#This Row],[Lomitas - Barra A - 5.2 - Cerro]]+TBL_CalcDarwin[[#This Row],[Lomitas - Barra A - 5.2 - Medio]]+TBL_CalcDarwin[[#This Row],[Lomitas - Barra A - 5.2 - Mar]]</f>
        <v>23</v>
      </c>
      <c r="AP1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28" s="37">
        <f>TBL_CalcDarwin[[#This Row],[Expansión - Barra A - 5.2 - Cerro]]+TBL_CalcDarwin[[#This Row],[Expansión - Barra A - 5.2 - Medio]]+TBL_CalcDarwin[[#This Row],[Expansión - Barra A - 5.2 - Mar]]</f>
        <v>2</v>
      </c>
      <c r="AT128" s="37">
        <f>TBL_CalcDarwin[[#This Row],[Expansión - Barra B - 5.2 - Cerro]]</f>
        <v>1</v>
      </c>
      <c r="AU1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28" s="29">
        <f>TBL_CalcDarwin[[#This Row],[Expansión - Barra B - 5.2 - Cerro]]*TBL_CalcDarwin[[#This Row],[AEG 5.2 MW Cerro]]</f>
        <v>0.98299999999999998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5">
        <f t="shared" si="6"/>
        <v>45589.291666666366</v>
      </c>
      <c r="C129" s="17">
        <f t="shared" si="12"/>
        <v>5.2916666666666696</v>
      </c>
      <c r="D129" s="34">
        <f>TBL_CalcDarwin[[#This Row],[Darwin PLOM
MW]]+TBL_CalcDarwin[[#This Row],[Darwin PLOME
MW]]</f>
        <v>115.82799999999999</v>
      </c>
      <c r="E129" s="34">
        <f>TBL_CalcDarwin[[#This Row],[PLOM MW TOTAL BARRA A]]+TBL_CalcDarwin[[#This Row],[PLOM MW TOTAL BARRA B]]</f>
        <v>111.88399999999999</v>
      </c>
      <c r="F129" s="34">
        <f>TBL_CalcDarwin[[#This Row],[PLOME MW TOTAL BARRA A]]+TBL_CalcDarwin[[#This Row],[PLOME MW TOTAL BARRA B]]</f>
        <v>3.944</v>
      </c>
      <c r="G129" s="48">
        <f>'Plantilla Datos'!D134</f>
        <v>6.6</v>
      </c>
      <c r="H129" s="48">
        <f>'Plantilla Datos'!E134</f>
        <v>8.3000000000000007</v>
      </c>
      <c r="I129" s="49">
        <f>'Plantilla Datos'!F134</f>
        <v>16.899999999999999</v>
      </c>
      <c r="J129" s="47">
        <f>CEILING('Plantilla Datos'!$L$3*TBL_CalcDarwin[[#This Row],[Darwin Gusts
m/s]],0.5)</f>
        <v>6</v>
      </c>
      <c r="K129" s="47">
        <f>CEILING('Plantilla Datos'!$L$4*TBL_CalcDarwin[[#This Row],[Darwin Gusts
m/s]],0.5)</f>
        <v>7.5</v>
      </c>
      <c r="L129" s="47">
        <f>CEILING(TBL_CalcDarwin[[#This Row],[Darwin Gusts
m/s]],0.5)</f>
        <v>8.5</v>
      </c>
      <c r="M1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29" s="41">
        <f>INDEX(Curva_Temp[Temp],MATCH(TBL_CalcDarwin[[#This Row],[Darwin Temp.
°C]],Curva_Temp[Temp]))</f>
        <v>15</v>
      </c>
      <c r="R129" s="41">
        <f>INDEX(Curva_Temp[Warranted Power Curve for 
1.194Kg/m3 air density '[kW']
SG 5.0-145 (AM+1, 5.2MW) AT 
90M],MATCH(TBL_CalcDarwin[[#This Row],[Darwin Temp.
°C]],Curva_Temp[Temp]))</f>
        <v>5200</v>
      </c>
      <c r="S129" s="41" cm="1">
        <f t="array" ref="S129">INDEX(Curva_Temp[Temp],MATCH(TBL_CalcDarwin[[#This Row],[Darwin Temp.
°C]],Curva_Temp[Temp])+1)</f>
        <v>20</v>
      </c>
      <c r="T129" s="41" cm="1">
        <f t="array" ref="T129">INDEX(Curva_Temp[Warranted Power Curve for 
1.194Kg/m3 air density '[kW']
SG 5.0-145 (AM+1, 5.2MW) AT 
90M],MATCH(TBL_CalcDarwin[[#This Row],[Darwin Temp.
°C]],Curva_Temp[Temp])+1)</f>
        <v>5000</v>
      </c>
      <c r="U1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29" s="41">
        <f>INDEX(Curva_Temp[Temp],MATCH(TBL_CalcDarwin[[#This Row],[Darwin Temp.
°C]],Curva_Temp[Temp]))</f>
        <v>15</v>
      </c>
      <c r="Z129" s="41">
        <f>INDEX(Curva_Temp[Warranted Power Curve for 
1.194Kg/m3 air density '[kW']
SG 5.0-145 (AM 0, 5.0MW) AT 
90M],MATCH(TBL_CalcDarwin[[#This Row],[Darwin Temp.
°C]],Curva_Temp[Temp]))</f>
        <v>5000</v>
      </c>
      <c r="AA129" s="41" cm="1">
        <f t="array" ref="AA129">INDEX(Curva_Temp[Temp],MATCH(TBL_CalcDarwin[[#This Row],[Darwin Temp.
°C]],Curva_Temp[Temp])+1)</f>
        <v>20</v>
      </c>
      <c r="AB129" s="41" cm="1">
        <f t="array" ref="AB129">INDEX(Curva_Temp[Warranted Power Curve for 
1.194Kg/m3 air density '[kW']
SG 5.0-145 (AM 0, 5.0MW) AT 
90M],MATCH(TBL_CalcDarwin[[#This Row],[Darwin Temp.
°C]],Curva_Temp[Temp])+1)</f>
        <v>5000</v>
      </c>
      <c r="AC129" s="45">
        <f>HLOOKUP(TBL_CalcDarwin[[#This Row],[Fecha]],'Plantilla AEG ES'!$E$1:$HX$13,2,FALSE)</f>
        <v>5</v>
      </c>
      <c r="AD129" s="45">
        <f>HLOOKUP(TBL_CalcDarwin[[#This Row],[Fecha]],'Plantilla AEG ES'!$E$1:$HX$13,3,FALSE)</f>
        <v>7</v>
      </c>
      <c r="AE129" s="45">
        <f>HLOOKUP(TBL_CalcDarwin[[#This Row],[Fecha]],'Plantilla AEG ES'!$E$1:$HX$13,4,FALSE)</f>
        <v>11</v>
      </c>
      <c r="AF129" s="45">
        <f>HLOOKUP(TBL_CalcDarwin[[#This Row],[Fecha]],'Plantilla AEG ES'!$E$1:$HX$13,5,FALSE)</f>
        <v>1</v>
      </c>
      <c r="AG129" s="45">
        <f>HLOOKUP(TBL_CalcDarwin[[#This Row],[Fecha]],'Plantilla AEG ES'!$E$1:$HX$13,6,FALSE)</f>
        <v>1</v>
      </c>
      <c r="AH129" s="45">
        <f>HLOOKUP(TBL_CalcDarwin[[#This Row],[Fecha]],'Plantilla AEG ES'!$E$1:$HX$13,7,FALSE)</f>
        <v>0</v>
      </c>
      <c r="AI129" s="46">
        <f>HLOOKUP(TBL_CalcDarwin[[#This Row],[Fecha]],'Plantilla AEG ES'!$E$1:$HX$13,8,FALSE)</f>
        <v>0</v>
      </c>
      <c r="AJ129" s="46">
        <f>HLOOKUP(TBL_CalcDarwin[[#This Row],[Fecha]],'Plantilla AEG ES'!$E$1:$HX$13,9,FALSE)</f>
        <v>3</v>
      </c>
      <c r="AK129" s="46">
        <f>HLOOKUP(TBL_CalcDarwin[[#This Row],[Fecha]],'Plantilla AEG ES'!$E$1:$HX$13,10,FALSE)</f>
        <v>12</v>
      </c>
      <c r="AL129" s="46">
        <f>HLOOKUP(TBL_CalcDarwin[[#This Row],[Fecha]],'Plantilla AEG ES'!$E$1:$HX$13,11,FALSE)</f>
        <v>1</v>
      </c>
      <c r="AM129" s="46">
        <f>HLOOKUP(TBL_CalcDarwin[[#This Row],[Fecha]],'Plantilla AEG ES'!$E$1:$HX$13,12,FALSE)</f>
        <v>7</v>
      </c>
      <c r="AN129" s="46">
        <f>HLOOKUP(TBL_CalcDarwin[[#This Row],[Fecha]],'Plantilla AEG ES'!$E$1:$HX$13,13,FALSE)</f>
        <v>1</v>
      </c>
      <c r="AO129" s="37">
        <f>TBL_CalcDarwin[[#This Row],[Lomitas - Barra A - 5.2 - Cerro]]+TBL_CalcDarwin[[#This Row],[Lomitas - Barra A - 5.2 - Medio]]+TBL_CalcDarwin[[#This Row],[Lomitas - Barra A - 5.2 - Mar]]</f>
        <v>23</v>
      </c>
      <c r="AP1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50.418999999999997</v>
      </c>
      <c r="AR1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129" s="37">
        <f>TBL_CalcDarwin[[#This Row],[Expansión - Barra A - 5.2 - Cerro]]+TBL_CalcDarwin[[#This Row],[Expansión - Barra A - 5.2 - Medio]]+TBL_CalcDarwin[[#This Row],[Expansión - Barra A - 5.2 - Mar]]</f>
        <v>2</v>
      </c>
      <c r="AT129" s="37">
        <f>TBL_CalcDarwin[[#This Row],[Expansión - Barra B - 5.2 - Cerro]]</f>
        <v>1</v>
      </c>
      <c r="AU1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129" s="29">
        <f>TBL_CalcDarwin[[#This Row],[Expansión - Barra B - 5.2 - Cerro]]*TBL_CalcDarwin[[#This Row],[AEG 5.2 MW Cerro]]</f>
        <v>0.98299999999999998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5">
        <f t="shared" si="6"/>
        <v>45589.33333333303</v>
      </c>
      <c r="C130" s="17">
        <f t="shared" si="12"/>
        <v>5.3333333333333366</v>
      </c>
      <c r="D130" s="34">
        <f>TBL_CalcDarwin[[#This Row],[Darwin PLOM
MW]]+TBL_CalcDarwin[[#This Row],[Darwin PLOME
MW]]</f>
        <v>137.39600000000002</v>
      </c>
      <c r="E130" s="34">
        <f>TBL_CalcDarwin[[#This Row],[PLOM MW TOTAL BARRA A]]+TBL_CalcDarwin[[#This Row],[PLOM MW TOTAL BARRA B]]</f>
        <v>132.45500000000001</v>
      </c>
      <c r="F130" s="34">
        <f>TBL_CalcDarwin[[#This Row],[PLOME MW TOTAL BARRA A]]+TBL_CalcDarwin[[#This Row],[PLOME MW TOTAL BARRA B]]</f>
        <v>4.9409999999999998</v>
      </c>
      <c r="G130" s="48">
        <f>'Plantilla Datos'!D135</f>
        <v>7.1</v>
      </c>
      <c r="H130" s="48">
        <f>'Plantilla Datos'!E135</f>
        <v>9</v>
      </c>
      <c r="I130" s="49">
        <f>'Plantilla Datos'!F135</f>
        <v>17.3</v>
      </c>
      <c r="J130" s="47">
        <f>CEILING('Plantilla Datos'!$L$3*TBL_CalcDarwin[[#This Row],[Darwin Gusts
m/s]],0.5)</f>
        <v>6.5</v>
      </c>
      <c r="K130" s="47">
        <f>CEILING('Plantilla Datos'!$L$4*TBL_CalcDarwin[[#This Row],[Darwin Gusts
m/s]],0.5)</f>
        <v>8</v>
      </c>
      <c r="L130" s="47">
        <f>CEILING(TBL_CalcDarwin[[#This Row],[Darwin Gusts
m/s]],0.5)</f>
        <v>9</v>
      </c>
      <c r="M1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30" s="41">
        <f>INDEX(Curva_Temp[Temp],MATCH(TBL_CalcDarwin[[#This Row],[Darwin Temp.
°C]],Curva_Temp[Temp]))</f>
        <v>15</v>
      </c>
      <c r="R130" s="41">
        <f>INDEX(Curva_Temp[Warranted Power Curve for 
1.194Kg/m3 air density '[kW']
SG 5.0-145 (AM+1, 5.2MW) AT 
90M],MATCH(TBL_CalcDarwin[[#This Row],[Darwin Temp.
°C]],Curva_Temp[Temp]))</f>
        <v>5200</v>
      </c>
      <c r="S130" s="41" cm="1">
        <f t="array" ref="S130">INDEX(Curva_Temp[Temp],MATCH(TBL_CalcDarwin[[#This Row],[Darwin Temp.
°C]],Curva_Temp[Temp])+1)</f>
        <v>20</v>
      </c>
      <c r="T130" s="41" cm="1">
        <f t="array" ref="T130">INDEX(Curva_Temp[Warranted Power Curve for 
1.194Kg/m3 air density '[kW']
SG 5.0-145 (AM+1, 5.2MW) AT 
90M],MATCH(TBL_CalcDarwin[[#This Row],[Darwin Temp.
°C]],Curva_Temp[Temp])+1)</f>
        <v>5000</v>
      </c>
      <c r="U1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30" s="41">
        <f>INDEX(Curva_Temp[Temp],MATCH(TBL_CalcDarwin[[#This Row],[Darwin Temp.
°C]],Curva_Temp[Temp]))</f>
        <v>15</v>
      </c>
      <c r="Z130" s="41">
        <f>INDEX(Curva_Temp[Warranted Power Curve for 
1.194Kg/m3 air density '[kW']
SG 5.0-145 (AM 0, 5.0MW) AT 
90M],MATCH(TBL_CalcDarwin[[#This Row],[Darwin Temp.
°C]],Curva_Temp[Temp]))</f>
        <v>5000</v>
      </c>
      <c r="AA130" s="41" cm="1">
        <f t="array" ref="AA130">INDEX(Curva_Temp[Temp],MATCH(TBL_CalcDarwin[[#This Row],[Darwin Temp.
°C]],Curva_Temp[Temp])+1)</f>
        <v>20</v>
      </c>
      <c r="AB130" s="41" cm="1">
        <f t="array" ref="AB130">INDEX(Curva_Temp[Warranted Power Curve for 
1.194Kg/m3 air density '[kW']
SG 5.0-145 (AM 0, 5.0MW) AT 
90M],MATCH(TBL_CalcDarwin[[#This Row],[Darwin Temp.
°C]],Curva_Temp[Temp])+1)</f>
        <v>5000</v>
      </c>
      <c r="AC130" s="45">
        <f>HLOOKUP(TBL_CalcDarwin[[#This Row],[Fecha]],'Plantilla AEG ES'!$E$1:$HX$13,2,FALSE)</f>
        <v>5</v>
      </c>
      <c r="AD130" s="45">
        <f>HLOOKUP(TBL_CalcDarwin[[#This Row],[Fecha]],'Plantilla AEG ES'!$E$1:$HX$13,3,FALSE)</f>
        <v>7</v>
      </c>
      <c r="AE130" s="45">
        <f>HLOOKUP(TBL_CalcDarwin[[#This Row],[Fecha]],'Plantilla AEG ES'!$E$1:$HX$13,4,FALSE)</f>
        <v>11</v>
      </c>
      <c r="AF130" s="45">
        <f>HLOOKUP(TBL_CalcDarwin[[#This Row],[Fecha]],'Plantilla AEG ES'!$E$1:$HX$13,5,FALSE)</f>
        <v>1</v>
      </c>
      <c r="AG130" s="45">
        <f>HLOOKUP(TBL_CalcDarwin[[#This Row],[Fecha]],'Plantilla AEG ES'!$E$1:$HX$13,6,FALSE)</f>
        <v>1</v>
      </c>
      <c r="AH130" s="45">
        <f>HLOOKUP(TBL_CalcDarwin[[#This Row],[Fecha]],'Plantilla AEG ES'!$E$1:$HX$13,7,FALSE)</f>
        <v>0</v>
      </c>
      <c r="AI130" s="46">
        <f>HLOOKUP(TBL_CalcDarwin[[#This Row],[Fecha]],'Plantilla AEG ES'!$E$1:$HX$13,8,FALSE)</f>
        <v>0</v>
      </c>
      <c r="AJ130" s="46">
        <f>HLOOKUP(TBL_CalcDarwin[[#This Row],[Fecha]],'Plantilla AEG ES'!$E$1:$HX$13,9,FALSE)</f>
        <v>3</v>
      </c>
      <c r="AK130" s="46">
        <f>HLOOKUP(TBL_CalcDarwin[[#This Row],[Fecha]],'Plantilla AEG ES'!$E$1:$HX$13,10,FALSE)</f>
        <v>12</v>
      </c>
      <c r="AL130" s="46">
        <f>HLOOKUP(TBL_CalcDarwin[[#This Row],[Fecha]],'Plantilla AEG ES'!$E$1:$HX$13,11,FALSE)</f>
        <v>1</v>
      </c>
      <c r="AM130" s="46">
        <f>HLOOKUP(TBL_CalcDarwin[[#This Row],[Fecha]],'Plantilla AEG ES'!$E$1:$HX$13,12,FALSE)</f>
        <v>7</v>
      </c>
      <c r="AN130" s="46">
        <f>HLOOKUP(TBL_CalcDarwin[[#This Row],[Fecha]],'Plantilla AEG ES'!$E$1:$HX$13,13,FALSE)</f>
        <v>1</v>
      </c>
      <c r="AO130" s="37">
        <f>TBL_CalcDarwin[[#This Row],[Lomitas - Barra A - 5.2 - Cerro]]+TBL_CalcDarwin[[#This Row],[Lomitas - Barra A - 5.2 - Medio]]+TBL_CalcDarwin[[#This Row],[Lomitas - Barra A - 5.2 - Mar]]</f>
        <v>23</v>
      </c>
      <c r="AP1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1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30" s="37">
        <f>TBL_CalcDarwin[[#This Row],[Expansión - Barra A - 5.2 - Cerro]]+TBL_CalcDarwin[[#This Row],[Expansión - Barra A - 5.2 - Medio]]+TBL_CalcDarwin[[#This Row],[Expansión - Barra A - 5.2 - Mar]]</f>
        <v>2</v>
      </c>
      <c r="AT130" s="37">
        <f>TBL_CalcDarwin[[#This Row],[Expansión - Barra B - 5.2 - Cerro]]</f>
        <v>1</v>
      </c>
      <c r="AU1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30" s="29">
        <f>TBL_CalcDarwin[[#This Row],[Expansión - Barra B - 5.2 - Cerro]]*TBL_CalcDarwin[[#This Row],[AEG 5.2 MW Cerro]]</f>
        <v>1.266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5">
        <f t="shared" si="6"/>
        <v>45589.374999999694</v>
      </c>
      <c r="C131" s="17">
        <f t="shared" si="12"/>
        <v>5.3750000000000036</v>
      </c>
      <c r="D131" s="34">
        <f>TBL_CalcDarwin[[#This Row],[Darwin PLOM
MW]]+TBL_CalcDarwin[[#This Row],[Darwin PLOME
MW]]</f>
        <v>172.44799999999998</v>
      </c>
      <c r="E131" s="34">
        <f>TBL_CalcDarwin[[#This Row],[PLOM MW TOTAL BARRA A]]+TBL_CalcDarwin[[#This Row],[PLOM MW TOTAL BARRA B]]</f>
        <v>166.37599999999998</v>
      </c>
      <c r="F131" s="34">
        <f>TBL_CalcDarwin[[#This Row],[PLOME MW TOTAL BARRA A]]+TBL_CalcDarwin[[#This Row],[PLOME MW TOTAL BARRA B]]</f>
        <v>6.0719999999999992</v>
      </c>
      <c r="G131" s="48">
        <f>'Plantilla Datos'!D136</f>
        <v>7.7</v>
      </c>
      <c r="H131" s="48">
        <f>'Plantilla Datos'!E136</f>
        <v>9.6999999999999993</v>
      </c>
      <c r="I131" s="49">
        <f>'Plantilla Datos'!F136</f>
        <v>17.7</v>
      </c>
      <c r="J131" s="47">
        <f>CEILING('Plantilla Datos'!$L$3*TBL_CalcDarwin[[#This Row],[Darwin Gusts
m/s]],0.5)</f>
        <v>7</v>
      </c>
      <c r="K131" s="47">
        <f>CEILING('Plantilla Datos'!$L$4*TBL_CalcDarwin[[#This Row],[Darwin Gusts
m/s]],0.5)</f>
        <v>8.5</v>
      </c>
      <c r="L131" s="47">
        <f>CEILING(TBL_CalcDarwin[[#This Row],[Darwin Gusts
m/s]],0.5)</f>
        <v>10</v>
      </c>
      <c r="M1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31" s="41">
        <f>INDEX(Curva_Temp[Temp],MATCH(TBL_CalcDarwin[[#This Row],[Darwin Temp.
°C]],Curva_Temp[Temp]))</f>
        <v>15</v>
      </c>
      <c r="R131" s="41">
        <f>INDEX(Curva_Temp[Warranted Power Curve for 
1.194Kg/m3 air density '[kW']
SG 5.0-145 (AM+1, 5.2MW) AT 
90M],MATCH(TBL_CalcDarwin[[#This Row],[Darwin Temp.
°C]],Curva_Temp[Temp]))</f>
        <v>5200</v>
      </c>
      <c r="S131" s="41" cm="1">
        <f t="array" ref="S131">INDEX(Curva_Temp[Temp],MATCH(TBL_CalcDarwin[[#This Row],[Darwin Temp.
°C]],Curva_Temp[Temp])+1)</f>
        <v>20</v>
      </c>
      <c r="T131" s="41" cm="1">
        <f t="array" ref="T131">INDEX(Curva_Temp[Warranted Power Curve for 
1.194Kg/m3 air density '[kW']
SG 5.0-145 (AM+1, 5.2MW) AT 
90M],MATCH(TBL_CalcDarwin[[#This Row],[Darwin Temp.
°C]],Curva_Temp[Temp])+1)</f>
        <v>5000</v>
      </c>
      <c r="U1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31" s="41">
        <f>INDEX(Curva_Temp[Temp],MATCH(TBL_CalcDarwin[[#This Row],[Darwin Temp.
°C]],Curva_Temp[Temp]))</f>
        <v>15</v>
      </c>
      <c r="Z131" s="41">
        <f>INDEX(Curva_Temp[Warranted Power Curve for 
1.194Kg/m3 air density '[kW']
SG 5.0-145 (AM 0, 5.0MW) AT 
90M],MATCH(TBL_CalcDarwin[[#This Row],[Darwin Temp.
°C]],Curva_Temp[Temp]))</f>
        <v>5000</v>
      </c>
      <c r="AA131" s="41" cm="1">
        <f t="array" ref="AA131">INDEX(Curva_Temp[Temp],MATCH(TBL_CalcDarwin[[#This Row],[Darwin Temp.
°C]],Curva_Temp[Temp])+1)</f>
        <v>20</v>
      </c>
      <c r="AB131" s="41" cm="1">
        <f t="array" ref="AB131">INDEX(Curva_Temp[Warranted Power Curve for 
1.194Kg/m3 air density '[kW']
SG 5.0-145 (AM 0, 5.0MW) AT 
90M],MATCH(TBL_CalcDarwin[[#This Row],[Darwin Temp.
°C]],Curva_Temp[Temp])+1)</f>
        <v>5000</v>
      </c>
      <c r="AC131" s="45">
        <f>HLOOKUP(TBL_CalcDarwin[[#This Row],[Fecha]],'Plantilla AEG ES'!$E$1:$HX$13,2,FALSE)</f>
        <v>5</v>
      </c>
      <c r="AD131" s="45">
        <f>HLOOKUP(TBL_CalcDarwin[[#This Row],[Fecha]],'Plantilla AEG ES'!$E$1:$HX$13,3,FALSE)</f>
        <v>7</v>
      </c>
      <c r="AE131" s="45">
        <f>HLOOKUP(TBL_CalcDarwin[[#This Row],[Fecha]],'Plantilla AEG ES'!$E$1:$HX$13,4,FALSE)</f>
        <v>11</v>
      </c>
      <c r="AF131" s="45">
        <f>HLOOKUP(TBL_CalcDarwin[[#This Row],[Fecha]],'Plantilla AEG ES'!$E$1:$HX$13,5,FALSE)</f>
        <v>1</v>
      </c>
      <c r="AG131" s="45">
        <f>HLOOKUP(TBL_CalcDarwin[[#This Row],[Fecha]],'Plantilla AEG ES'!$E$1:$HX$13,6,FALSE)</f>
        <v>1</v>
      </c>
      <c r="AH131" s="45">
        <f>HLOOKUP(TBL_CalcDarwin[[#This Row],[Fecha]],'Plantilla AEG ES'!$E$1:$HX$13,7,FALSE)</f>
        <v>0</v>
      </c>
      <c r="AI131" s="46">
        <f>HLOOKUP(TBL_CalcDarwin[[#This Row],[Fecha]],'Plantilla AEG ES'!$E$1:$HX$13,8,FALSE)</f>
        <v>0</v>
      </c>
      <c r="AJ131" s="46">
        <f>HLOOKUP(TBL_CalcDarwin[[#This Row],[Fecha]],'Plantilla AEG ES'!$E$1:$HX$13,9,FALSE)</f>
        <v>3</v>
      </c>
      <c r="AK131" s="46">
        <f>HLOOKUP(TBL_CalcDarwin[[#This Row],[Fecha]],'Plantilla AEG ES'!$E$1:$HX$13,10,FALSE)</f>
        <v>12</v>
      </c>
      <c r="AL131" s="46">
        <f>HLOOKUP(TBL_CalcDarwin[[#This Row],[Fecha]],'Plantilla AEG ES'!$E$1:$HX$13,11,FALSE)</f>
        <v>1</v>
      </c>
      <c r="AM131" s="46">
        <f>HLOOKUP(TBL_CalcDarwin[[#This Row],[Fecha]],'Plantilla AEG ES'!$E$1:$HX$13,12,FALSE)</f>
        <v>7</v>
      </c>
      <c r="AN131" s="46">
        <f>HLOOKUP(TBL_CalcDarwin[[#This Row],[Fecha]],'Plantilla AEG ES'!$E$1:$HX$13,13,FALSE)</f>
        <v>1</v>
      </c>
      <c r="AO131" s="37">
        <f>TBL_CalcDarwin[[#This Row],[Lomitas - Barra A - 5.2 - Cerro]]+TBL_CalcDarwin[[#This Row],[Lomitas - Barra A - 5.2 - Medio]]+TBL_CalcDarwin[[#This Row],[Lomitas - Barra A - 5.2 - Mar]]</f>
        <v>23</v>
      </c>
      <c r="AP1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75.254999999999995</v>
      </c>
      <c r="AR1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31" s="37">
        <f>TBL_CalcDarwin[[#This Row],[Expansión - Barra A - 5.2 - Cerro]]+TBL_CalcDarwin[[#This Row],[Expansión - Barra A - 5.2 - Medio]]+TBL_CalcDarwin[[#This Row],[Expansión - Barra A - 5.2 - Mar]]</f>
        <v>2</v>
      </c>
      <c r="AT131" s="37">
        <f>TBL_CalcDarwin[[#This Row],[Expansión - Barra B - 5.2 - Cerro]]</f>
        <v>1</v>
      </c>
      <c r="AU1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31" s="29">
        <f>TBL_CalcDarwin[[#This Row],[Expansión - Barra B - 5.2 - Cerro]]*TBL_CalcDarwin[[#This Row],[AEG 5.2 MW Cerro]]</f>
        <v>1.597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5">
        <f t="shared" si="6"/>
        <v>45589.416666666359</v>
      </c>
      <c r="C132" s="17">
        <f t="shared" si="12"/>
        <v>5.4166666666666705</v>
      </c>
      <c r="D132" s="34">
        <f>TBL_CalcDarwin[[#This Row],[Darwin PLOM
MW]]+TBL_CalcDarwin[[#This Row],[Darwin PLOME
MW]]</f>
        <v>191.90899999999999</v>
      </c>
      <c r="E132" s="34">
        <f>TBL_CalcDarwin[[#This Row],[PLOM MW TOTAL BARRA A]]+TBL_CalcDarwin[[#This Row],[PLOM MW TOTAL BARRA B]]</f>
        <v>184.58699999999999</v>
      </c>
      <c r="F132" s="34">
        <f>TBL_CalcDarwin[[#This Row],[PLOME MW TOTAL BARRA A]]+TBL_CalcDarwin[[#This Row],[PLOME MW TOTAL BARRA B]]</f>
        <v>7.3220000000000001</v>
      </c>
      <c r="G132" s="48">
        <f>'Plantilla Datos'!D137</f>
        <v>8.3000000000000007</v>
      </c>
      <c r="H132" s="48">
        <f>'Plantilla Datos'!E137</f>
        <v>10.3</v>
      </c>
      <c r="I132" s="49">
        <f>'Plantilla Datos'!F137</f>
        <v>18.100000000000001</v>
      </c>
      <c r="J132" s="47">
        <f>CEILING('Plantilla Datos'!$L$3*TBL_CalcDarwin[[#This Row],[Darwin Gusts
m/s]],0.5)</f>
        <v>7.5</v>
      </c>
      <c r="K132" s="47">
        <f>CEILING('Plantilla Datos'!$L$4*TBL_CalcDarwin[[#This Row],[Darwin Gusts
m/s]],0.5)</f>
        <v>9</v>
      </c>
      <c r="L132" s="47">
        <f>CEILING(TBL_CalcDarwin[[#This Row],[Darwin Gusts
m/s]],0.5)</f>
        <v>10.5</v>
      </c>
      <c r="M1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1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32" s="41">
        <f>INDEX(Curva_Temp[Temp],MATCH(TBL_CalcDarwin[[#This Row],[Darwin Temp.
°C]],Curva_Temp[Temp]))</f>
        <v>15</v>
      </c>
      <c r="R132" s="41">
        <f>INDEX(Curva_Temp[Warranted Power Curve for 
1.194Kg/m3 air density '[kW']
SG 5.0-145 (AM+1, 5.2MW) AT 
90M],MATCH(TBL_CalcDarwin[[#This Row],[Darwin Temp.
°C]],Curva_Temp[Temp]))</f>
        <v>5200</v>
      </c>
      <c r="S132" s="41" cm="1">
        <f t="array" ref="S132">INDEX(Curva_Temp[Temp],MATCH(TBL_CalcDarwin[[#This Row],[Darwin Temp.
°C]],Curva_Temp[Temp])+1)</f>
        <v>20</v>
      </c>
      <c r="T132" s="41" cm="1">
        <f t="array" ref="T132">INDEX(Curva_Temp[Warranted Power Curve for 
1.194Kg/m3 air density '[kW']
SG 5.0-145 (AM+1, 5.2MW) AT 
90M],MATCH(TBL_CalcDarwin[[#This Row],[Darwin Temp.
°C]],Curva_Temp[Temp])+1)</f>
        <v>5000</v>
      </c>
      <c r="U1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32" s="41">
        <f>INDEX(Curva_Temp[Temp],MATCH(TBL_CalcDarwin[[#This Row],[Darwin Temp.
°C]],Curva_Temp[Temp]))</f>
        <v>15</v>
      </c>
      <c r="Z132" s="41">
        <f>INDEX(Curva_Temp[Warranted Power Curve for 
1.194Kg/m3 air density '[kW']
SG 5.0-145 (AM 0, 5.0MW) AT 
90M],MATCH(TBL_CalcDarwin[[#This Row],[Darwin Temp.
°C]],Curva_Temp[Temp]))</f>
        <v>5000</v>
      </c>
      <c r="AA132" s="41" cm="1">
        <f t="array" ref="AA132">INDEX(Curva_Temp[Temp],MATCH(TBL_CalcDarwin[[#This Row],[Darwin Temp.
°C]],Curva_Temp[Temp])+1)</f>
        <v>20</v>
      </c>
      <c r="AB132" s="41" cm="1">
        <f t="array" ref="AB132">INDEX(Curva_Temp[Warranted Power Curve for 
1.194Kg/m3 air density '[kW']
SG 5.0-145 (AM 0, 5.0MW) AT 
90M],MATCH(TBL_CalcDarwin[[#This Row],[Darwin Temp.
°C]],Curva_Temp[Temp])+1)</f>
        <v>5000</v>
      </c>
      <c r="AC132" s="45">
        <f>HLOOKUP(TBL_CalcDarwin[[#This Row],[Fecha]],'Plantilla AEG ES'!$E$1:$HX$13,2,FALSE)</f>
        <v>5</v>
      </c>
      <c r="AD132" s="45">
        <f>HLOOKUP(TBL_CalcDarwin[[#This Row],[Fecha]],'Plantilla AEG ES'!$E$1:$HX$13,3,FALSE)</f>
        <v>7</v>
      </c>
      <c r="AE132" s="45">
        <f>HLOOKUP(TBL_CalcDarwin[[#This Row],[Fecha]],'Plantilla AEG ES'!$E$1:$HX$13,4,FALSE)</f>
        <v>11</v>
      </c>
      <c r="AF132" s="45">
        <f>HLOOKUP(TBL_CalcDarwin[[#This Row],[Fecha]],'Plantilla AEG ES'!$E$1:$HX$13,5,FALSE)</f>
        <v>1</v>
      </c>
      <c r="AG132" s="45">
        <f>HLOOKUP(TBL_CalcDarwin[[#This Row],[Fecha]],'Plantilla AEG ES'!$E$1:$HX$13,6,FALSE)</f>
        <v>1</v>
      </c>
      <c r="AH132" s="45">
        <f>HLOOKUP(TBL_CalcDarwin[[#This Row],[Fecha]],'Plantilla AEG ES'!$E$1:$HX$13,7,FALSE)</f>
        <v>0</v>
      </c>
      <c r="AI132" s="46">
        <f>HLOOKUP(TBL_CalcDarwin[[#This Row],[Fecha]],'Plantilla AEG ES'!$E$1:$HX$13,8,FALSE)</f>
        <v>0</v>
      </c>
      <c r="AJ132" s="46">
        <f>HLOOKUP(TBL_CalcDarwin[[#This Row],[Fecha]],'Plantilla AEG ES'!$E$1:$HX$13,9,FALSE)</f>
        <v>3</v>
      </c>
      <c r="AK132" s="46">
        <f>HLOOKUP(TBL_CalcDarwin[[#This Row],[Fecha]],'Plantilla AEG ES'!$E$1:$HX$13,10,FALSE)</f>
        <v>12</v>
      </c>
      <c r="AL132" s="46">
        <f>HLOOKUP(TBL_CalcDarwin[[#This Row],[Fecha]],'Plantilla AEG ES'!$E$1:$HX$13,11,FALSE)</f>
        <v>1</v>
      </c>
      <c r="AM132" s="46">
        <f>HLOOKUP(TBL_CalcDarwin[[#This Row],[Fecha]],'Plantilla AEG ES'!$E$1:$HX$13,12,FALSE)</f>
        <v>7</v>
      </c>
      <c r="AN132" s="46">
        <f>HLOOKUP(TBL_CalcDarwin[[#This Row],[Fecha]],'Plantilla AEG ES'!$E$1:$HX$13,13,FALSE)</f>
        <v>1</v>
      </c>
      <c r="AO132" s="37">
        <f>TBL_CalcDarwin[[#This Row],[Lomitas - Barra A - 5.2 - Cerro]]+TBL_CalcDarwin[[#This Row],[Lomitas - Barra A - 5.2 - Medio]]+TBL_CalcDarwin[[#This Row],[Lomitas - Barra A - 5.2 - Mar]]</f>
        <v>23</v>
      </c>
      <c r="AP1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1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32" s="37">
        <f>TBL_CalcDarwin[[#This Row],[Expansión - Barra A - 5.2 - Cerro]]+TBL_CalcDarwin[[#This Row],[Expansión - Barra A - 5.2 - Medio]]+TBL_CalcDarwin[[#This Row],[Expansión - Barra A - 5.2 - Mar]]</f>
        <v>2</v>
      </c>
      <c r="AT132" s="37">
        <f>TBL_CalcDarwin[[#This Row],[Expansión - Barra B - 5.2 - Cerro]]</f>
        <v>1</v>
      </c>
      <c r="AU1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32" s="29">
        <f>TBL_CalcDarwin[[#This Row],[Expansión - Barra B - 5.2 - Cerro]]*TBL_CalcDarwin[[#This Row],[AEG 5.2 MW Cerro]]</f>
        <v>1.978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5">
        <f t="shared" si="6"/>
        <v>45589.458333333023</v>
      </c>
      <c r="C133" s="17">
        <f t="shared" si="12"/>
        <v>5.4583333333333375</v>
      </c>
      <c r="D133" s="34">
        <f>TBL_CalcDarwin[[#This Row],[Darwin PLOM
MW]]+TBL_CalcDarwin[[#This Row],[Darwin PLOME
MW]]</f>
        <v>217.79000000000002</v>
      </c>
      <c r="E133" s="34">
        <f>TBL_CalcDarwin[[#This Row],[PLOM MW TOTAL BARRA A]]+TBL_CalcDarwin[[#This Row],[PLOM MW TOTAL BARRA B]]</f>
        <v>209.13000000000002</v>
      </c>
      <c r="F133" s="34">
        <f>TBL_CalcDarwin[[#This Row],[PLOME MW TOTAL BARRA A]]+TBL_CalcDarwin[[#This Row],[PLOME MW TOTAL BARRA B]]</f>
        <v>8.66</v>
      </c>
      <c r="G133" s="48">
        <f>'Plantilla Datos'!D138</f>
        <v>8.8000000000000007</v>
      </c>
      <c r="H133" s="48">
        <f>'Plantilla Datos'!E138</f>
        <v>11</v>
      </c>
      <c r="I133" s="49">
        <f>'Plantilla Datos'!F138</f>
        <v>18.600000000000001</v>
      </c>
      <c r="J133" s="47">
        <f>CEILING('Plantilla Datos'!$L$3*TBL_CalcDarwin[[#This Row],[Darwin Gusts
m/s]],0.5)</f>
        <v>8</v>
      </c>
      <c r="K133" s="47">
        <f>CEILING('Plantilla Datos'!$L$4*TBL_CalcDarwin[[#This Row],[Darwin Gusts
m/s]],0.5)</f>
        <v>9.5</v>
      </c>
      <c r="L133" s="47">
        <f>CEILING(TBL_CalcDarwin[[#This Row],[Darwin Gusts
m/s]],0.5)</f>
        <v>11</v>
      </c>
      <c r="M1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1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33" s="41">
        <f>INDEX(Curva_Temp[Temp],MATCH(TBL_CalcDarwin[[#This Row],[Darwin Temp.
°C]],Curva_Temp[Temp]))</f>
        <v>15</v>
      </c>
      <c r="R133" s="41">
        <f>INDEX(Curva_Temp[Warranted Power Curve for 
1.194Kg/m3 air density '[kW']
SG 5.0-145 (AM+1, 5.2MW) AT 
90M],MATCH(TBL_CalcDarwin[[#This Row],[Darwin Temp.
°C]],Curva_Temp[Temp]))</f>
        <v>5200</v>
      </c>
      <c r="S133" s="41" cm="1">
        <f t="array" ref="S133">INDEX(Curva_Temp[Temp],MATCH(TBL_CalcDarwin[[#This Row],[Darwin Temp.
°C]],Curva_Temp[Temp])+1)</f>
        <v>20</v>
      </c>
      <c r="T133" s="41" cm="1">
        <f t="array" ref="T133">INDEX(Curva_Temp[Warranted Power Curve for 
1.194Kg/m3 air density '[kW']
SG 5.0-145 (AM+1, 5.2MW) AT 
90M],MATCH(TBL_CalcDarwin[[#This Row],[Darwin Temp.
°C]],Curva_Temp[Temp])+1)</f>
        <v>5000</v>
      </c>
      <c r="U1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33" s="41">
        <f>INDEX(Curva_Temp[Temp],MATCH(TBL_CalcDarwin[[#This Row],[Darwin Temp.
°C]],Curva_Temp[Temp]))</f>
        <v>15</v>
      </c>
      <c r="Z133" s="41">
        <f>INDEX(Curva_Temp[Warranted Power Curve for 
1.194Kg/m3 air density '[kW']
SG 5.0-145 (AM 0, 5.0MW) AT 
90M],MATCH(TBL_CalcDarwin[[#This Row],[Darwin Temp.
°C]],Curva_Temp[Temp]))</f>
        <v>5000</v>
      </c>
      <c r="AA133" s="41" cm="1">
        <f t="array" ref="AA133">INDEX(Curva_Temp[Temp],MATCH(TBL_CalcDarwin[[#This Row],[Darwin Temp.
°C]],Curva_Temp[Temp])+1)</f>
        <v>20</v>
      </c>
      <c r="AB133" s="41" cm="1">
        <f t="array" ref="AB133">INDEX(Curva_Temp[Warranted Power Curve for 
1.194Kg/m3 air density '[kW']
SG 5.0-145 (AM 0, 5.0MW) AT 
90M],MATCH(TBL_CalcDarwin[[#This Row],[Darwin Temp.
°C]],Curva_Temp[Temp])+1)</f>
        <v>5000</v>
      </c>
      <c r="AC133" s="45">
        <f>HLOOKUP(TBL_CalcDarwin[[#This Row],[Fecha]],'Plantilla AEG ES'!$E$1:$HX$13,2,FALSE)</f>
        <v>5</v>
      </c>
      <c r="AD133" s="45">
        <f>HLOOKUP(TBL_CalcDarwin[[#This Row],[Fecha]],'Plantilla AEG ES'!$E$1:$HX$13,3,FALSE)</f>
        <v>8</v>
      </c>
      <c r="AE133" s="45">
        <f>HLOOKUP(TBL_CalcDarwin[[#This Row],[Fecha]],'Plantilla AEG ES'!$E$1:$HX$13,4,FALSE)</f>
        <v>12</v>
      </c>
      <c r="AF133" s="45">
        <f>HLOOKUP(TBL_CalcDarwin[[#This Row],[Fecha]],'Plantilla AEG ES'!$E$1:$HX$13,5,FALSE)</f>
        <v>1</v>
      </c>
      <c r="AG133" s="45">
        <f>HLOOKUP(TBL_CalcDarwin[[#This Row],[Fecha]],'Plantilla AEG ES'!$E$1:$HX$13,6,FALSE)</f>
        <v>1</v>
      </c>
      <c r="AH133" s="45">
        <f>HLOOKUP(TBL_CalcDarwin[[#This Row],[Fecha]],'Plantilla AEG ES'!$E$1:$HX$13,7,FALSE)</f>
        <v>0</v>
      </c>
      <c r="AI133" s="46">
        <f>HLOOKUP(TBL_CalcDarwin[[#This Row],[Fecha]],'Plantilla AEG ES'!$E$1:$HX$13,8,FALSE)</f>
        <v>0</v>
      </c>
      <c r="AJ133" s="46">
        <f>HLOOKUP(TBL_CalcDarwin[[#This Row],[Fecha]],'Plantilla AEG ES'!$E$1:$HX$13,9,FALSE)</f>
        <v>3</v>
      </c>
      <c r="AK133" s="46">
        <f>HLOOKUP(TBL_CalcDarwin[[#This Row],[Fecha]],'Plantilla AEG ES'!$E$1:$HX$13,10,FALSE)</f>
        <v>12</v>
      </c>
      <c r="AL133" s="46">
        <f>HLOOKUP(TBL_CalcDarwin[[#This Row],[Fecha]],'Plantilla AEG ES'!$E$1:$HX$13,11,FALSE)</f>
        <v>1</v>
      </c>
      <c r="AM133" s="46">
        <f>HLOOKUP(TBL_CalcDarwin[[#This Row],[Fecha]],'Plantilla AEG ES'!$E$1:$HX$13,12,FALSE)</f>
        <v>7</v>
      </c>
      <c r="AN133" s="46">
        <f>HLOOKUP(TBL_CalcDarwin[[#This Row],[Fecha]],'Plantilla AEG ES'!$E$1:$HX$13,13,FALSE)</f>
        <v>1</v>
      </c>
      <c r="AO133" s="37">
        <f>TBL_CalcDarwin[[#This Row],[Lomitas - Barra A - 5.2 - Cerro]]+TBL_CalcDarwin[[#This Row],[Lomitas - Barra A - 5.2 - Medio]]+TBL_CalcDarwin[[#This Row],[Lomitas - Barra A - 5.2 - Mar]]</f>
        <v>25</v>
      </c>
      <c r="AP1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33" s="37">
        <f>TBL_CalcDarwin[[#This Row],[Expansión - Barra A - 5.2 - Cerro]]+TBL_CalcDarwin[[#This Row],[Expansión - Barra A - 5.2 - Medio]]+TBL_CalcDarwin[[#This Row],[Expansión - Barra A - 5.2 - Mar]]</f>
        <v>2</v>
      </c>
      <c r="AT133" s="37">
        <f>TBL_CalcDarwin[[#This Row],[Expansión - Barra B - 5.2 - Cerro]]</f>
        <v>1</v>
      </c>
      <c r="AU1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33" s="29">
        <f>TBL_CalcDarwin[[#This Row],[Expansión - Barra B - 5.2 - Cerro]]*TBL_CalcDarwin[[#This Row],[AEG 5.2 MW Cerro]]</f>
        <v>2.4089999999999998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5">
        <f t="shared" ref="B134:B197" si="13">B133+TIME(1,0,0)</f>
        <v>45589.499999999687</v>
      </c>
      <c r="C134" s="17">
        <f t="shared" si="12"/>
        <v>5.5000000000000044</v>
      </c>
      <c r="D134" s="34">
        <f>TBL_CalcDarwin[[#This Row],[Darwin PLOM
MW]]+TBL_CalcDarwin[[#This Row],[Darwin PLOME
MW]]</f>
        <v>230.17699999999999</v>
      </c>
      <c r="E134" s="34">
        <f>TBL_CalcDarwin[[#This Row],[PLOM MW TOTAL BARRA A]]+TBL_CalcDarwin[[#This Row],[PLOM MW TOTAL BARRA B]]</f>
        <v>220.137</v>
      </c>
      <c r="F134" s="34">
        <f>TBL_CalcDarwin[[#This Row],[PLOME MW TOTAL BARRA A]]+TBL_CalcDarwin[[#This Row],[PLOME MW TOTAL BARRA B]]</f>
        <v>10.039999999999999</v>
      </c>
      <c r="G134" s="48">
        <f>'Plantilla Datos'!D139</f>
        <v>9.4</v>
      </c>
      <c r="H134" s="48">
        <f>'Plantilla Datos'!E139</f>
        <v>11.7</v>
      </c>
      <c r="I134" s="49">
        <f>'Plantilla Datos'!F139</f>
        <v>19</v>
      </c>
      <c r="J134" s="47">
        <f>CEILING('Plantilla Datos'!$L$3*TBL_CalcDarwin[[#This Row],[Darwin Gusts
m/s]],0.5)</f>
        <v>8.5</v>
      </c>
      <c r="K134" s="47">
        <f>CEILING('Plantilla Datos'!$L$4*TBL_CalcDarwin[[#This Row],[Darwin Gusts
m/s]],0.5)</f>
        <v>10</v>
      </c>
      <c r="L134" s="47">
        <f>CEILING(TBL_CalcDarwin[[#This Row],[Darwin Gusts
m/s]],0.5)</f>
        <v>12</v>
      </c>
      <c r="M1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1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5.04</v>
      </c>
      <c r="Q134" s="41">
        <f>INDEX(Curva_Temp[Temp],MATCH(TBL_CalcDarwin[[#This Row],[Darwin Temp.
°C]],Curva_Temp[Temp]))</f>
        <v>15</v>
      </c>
      <c r="R134" s="41">
        <f>INDEX(Curva_Temp[Warranted Power Curve for 
1.194Kg/m3 air density '[kW']
SG 5.0-145 (AM+1, 5.2MW) AT 
90M],MATCH(TBL_CalcDarwin[[#This Row],[Darwin Temp.
°C]],Curva_Temp[Temp]))</f>
        <v>5200</v>
      </c>
      <c r="S134" s="41" cm="1">
        <f t="array" ref="S134">INDEX(Curva_Temp[Temp],MATCH(TBL_CalcDarwin[[#This Row],[Darwin Temp.
°C]],Curva_Temp[Temp])+1)</f>
        <v>20</v>
      </c>
      <c r="T134" s="41" cm="1">
        <f t="array" ref="T134">INDEX(Curva_Temp[Warranted Power Curve for 
1.194Kg/m3 air density '[kW']
SG 5.0-145 (AM+1, 5.2MW) AT 
90M],MATCH(TBL_CalcDarwin[[#This Row],[Darwin Temp.
°C]],Curva_Temp[Temp])+1)</f>
        <v>5000</v>
      </c>
      <c r="U1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34" s="41">
        <f>INDEX(Curva_Temp[Temp],MATCH(TBL_CalcDarwin[[#This Row],[Darwin Temp.
°C]],Curva_Temp[Temp]))</f>
        <v>15</v>
      </c>
      <c r="Z134" s="41">
        <f>INDEX(Curva_Temp[Warranted Power Curve for 
1.194Kg/m3 air density '[kW']
SG 5.0-145 (AM 0, 5.0MW) AT 
90M],MATCH(TBL_CalcDarwin[[#This Row],[Darwin Temp.
°C]],Curva_Temp[Temp]))</f>
        <v>5000</v>
      </c>
      <c r="AA134" s="41" cm="1">
        <f t="array" ref="AA134">INDEX(Curva_Temp[Temp],MATCH(TBL_CalcDarwin[[#This Row],[Darwin Temp.
°C]],Curva_Temp[Temp])+1)</f>
        <v>20</v>
      </c>
      <c r="AB134" s="41" cm="1">
        <f t="array" ref="AB134">INDEX(Curva_Temp[Warranted Power Curve for 
1.194Kg/m3 air density '[kW']
SG 5.0-145 (AM 0, 5.0MW) AT 
90M],MATCH(TBL_CalcDarwin[[#This Row],[Darwin Temp.
°C]],Curva_Temp[Temp])+1)</f>
        <v>5000</v>
      </c>
      <c r="AC134" s="45">
        <f>HLOOKUP(TBL_CalcDarwin[[#This Row],[Fecha]],'Plantilla AEG ES'!$E$1:$HX$13,2,FALSE)</f>
        <v>5</v>
      </c>
      <c r="AD134" s="45">
        <f>HLOOKUP(TBL_CalcDarwin[[#This Row],[Fecha]],'Plantilla AEG ES'!$E$1:$HX$13,3,FALSE)</f>
        <v>8</v>
      </c>
      <c r="AE134" s="45">
        <f>HLOOKUP(TBL_CalcDarwin[[#This Row],[Fecha]],'Plantilla AEG ES'!$E$1:$HX$13,4,FALSE)</f>
        <v>12</v>
      </c>
      <c r="AF134" s="45">
        <f>HLOOKUP(TBL_CalcDarwin[[#This Row],[Fecha]],'Plantilla AEG ES'!$E$1:$HX$13,5,FALSE)</f>
        <v>1</v>
      </c>
      <c r="AG134" s="45">
        <f>HLOOKUP(TBL_CalcDarwin[[#This Row],[Fecha]],'Plantilla AEG ES'!$E$1:$HX$13,6,FALSE)</f>
        <v>1</v>
      </c>
      <c r="AH134" s="45">
        <f>HLOOKUP(TBL_CalcDarwin[[#This Row],[Fecha]],'Plantilla AEG ES'!$E$1:$HX$13,7,FALSE)</f>
        <v>0</v>
      </c>
      <c r="AI134" s="46">
        <f>HLOOKUP(TBL_CalcDarwin[[#This Row],[Fecha]],'Plantilla AEG ES'!$E$1:$HX$13,8,FALSE)</f>
        <v>0</v>
      </c>
      <c r="AJ134" s="46">
        <f>HLOOKUP(TBL_CalcDarwin[[#This Row],[Fecha]],'Plantilla AEG ES'!$E$1:$HX$13,9,FALSE)</f>
        <v>3</v>
      </c>
      <c r="AK134" s="46">
        <f>HLOOKUP(TBL_CalcDarwin[[#This Row],[Fecha]],'Plantilla AEG ES'!$E$1:$HX$13,10,FALSE)</f>
        <v>12</v>
      </c>
      <c r="AL134" s="46">
        <f>HLOOKUP(TBL_CalcDarwin[[#This Row],[Fecha]],'Plantilla AEG ES'!$E$1:$HX$13,11,FALSE)</f>
        <v>1</v>
      </c>
      <c r="AM134" s="46">
        <f>HLOOKUP(TBL_CalcDarwin[[#This Row],[Fecha]],'Plantilla AEG ES'!$E$1:$HX$13,12,FALSE)</f>
        <v>7</v>
      </c>
      <c r="AN134" s="46">
        <f>HLOOKUP(TBL_CalcDarwin[[#This Row],[Fecha]],'Plantilla AEG ES'!$E$1:$HX$13,13,FALSE)</f>
        <v>1</v>
      </c>
      <c r="AO134" s="37">
        <f>TBL_CalcDarwin[[#This Row],[Lomitas - Barra A - 5.2 - Cerro]]+TBL_CalcDarwin[[#This Row],[Lomitas - Barra A - 5.2 - Medio]]+TBL_CalcDarwin[[#This Row],[Lomitas - Barra A - 5.2 - Mar]]</f>
        <v>25</v>
      </c>
      <c r="AP1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109.142</v>
      </c>
      <c r="AR1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110.995</v>
      </c>
      <c r="AS134" s="37">
        <f>TBL_CalcDarwin[[#This Row],[Expansión - Barra A - 5.2 - Cerro]]+TBL_CalcDarwin[[#This Row],[Expansión - Barra A - 5.2 - Medio]]+TBL_CalcDarwin[[#This Row],[Expansión - Barra A - 5.2 - Mar]]</f>
        <v>2</v>
      </c>
      <c r="AT134" s="37">
        <f>TBL_CalcDarwin[[#This Row],[Expansión - Barra B - 5.2 - Cerro]]</f>
        <v>1</v>
      </c>
      <c r="AU1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34" s="29">
        <f>TBL_CalcDarwin[[#This Row],[Expansión - Barra B - 5.2 - Cerro]]*TBL_CalcDarwin[[#This Row],[AEG 5.2 MW Cerro]]</f>
        <v>2.8780000000000001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5">
        <f t="shared" si="13"/>
        <v>45589.541666666351</v>
      </c>
      <c r="C135" s="17">
        <f t="shared" si="12"/>
        <v>5.5416666666666714</v>
      </c>
      <c r="D135" s="34">
        <f>TBL_CalcDarwin[[#This Row],[Darwin PLOM
MW]]+TBL_CalcDarwin[[#This Row],[Darwin PLOME
MW]]</f>
        <v>241.95100000000002</v>
      </c>
      <c r="E135" s="34">
        <f>TBL_CalcDarwin[[#This Row],[PLOM MW TOTAL BARRA A]]+TBL_CalcDarwin[[#This Row],[PLOM MW TOTAL BARRA B]]</f>
        <v>230.26300000000003</v>
      </c>
      <c r="F135" s="34">
        <f>TBL_CalcDarwin[[#This Row],[PLOME MW TOTAL BARRA A]]+TBL_CalcDarwin[[#This Row],[PLOME MW TOTAL BARRA B]]</f>
        <v>11.688000000000001</v>
      </c>
      <c r="G135" s="48">
        <f>'Plantilla Datos'!D140</f>
        <v>10</v>
      </c>
      <c r="H135" s="48">
        <f>'Plantilla Datos'!E140</f>
        <v>12.4</v>
      </c>
      <c r="I135" s="49">
        <f>'Plantilla Datos'!F140</f>
        <v>19.3</v>
      </c>
      <c r="J135" s="47">
        <f>CEILING('Plantilla Datos'!$L$3*TBL_CalcDarwin[[#This Row],[Darwin Gusts
m/s]],0.5)</f>
        <v>9</v>
      </c>
      <c r="K135" s="47">
        <f>CEILING('Plantilla Datos'!$L$4*TBL_CalcDarwin[[#This Row],[Darwin Gusts
m/s]],0.5)</f>
        <v>11</v>
      </c>
      <c r="L135" s="47">
        <f>CEILING(TBL_CalcDarwin[[#This Row],[Darwin Gusts
m/s]],0.5)</f>
        <v>12.5</v>
      </c>
      <c r="M1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1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5.0279999999999996</v>
      </c>
      <c r="Q135" s="41">
        <f>INDEX(Curva_Temp[Temp],MATCH(TBL_CalcDarwin[[#This Row],[Darwin Temp.
°C]],Curva_Temp[Temp]))</f>
        <v>15</v>
      </c>
      <c r="R135" s="41">
        <f>INDEX(Curva_Temp[Warranted Power Curve for 
1.194Kg/m3 air density '[kW']
SG 5.0-145 (AM+1, 5.2MW) AT 
90M],MATCH(TBL_CalcDarwin[[#This Row],[Darwin Temp.
°C]],Curva_Temp[Temp]))</f>
        <v>5200</v>
      </c>
      <c r="S135" s="41" cm="1">
        <f t="array" ref="S135">INDEX(Curva_Temp[Temp],MATCH(TBL_CalcDarwin[[#This Row],[Darwin Temp.
°C]],Curva_Temp[Temp])+1)</f>
        <v>20</v>
      </c>
      <c r="T135" s="41" cm="1">
        <f t="array" ref="T135">INDEX(Curva_Temp[Warranted Power Curve for 
1.194Kg/m3 air density '[kW']
SG 5.0-145 (AM+1, 5.2MW) AT 
90M],MATCH(TBL_CalcDarwin[[#This Row],[Darwin Temp.
°C]],Curva_Temp[Temp])+1)</f>
        <v>5000</v>
      </c>
      <c r="U1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35" s="41">
        <f>INDEX(Curva_Temp[Temp],MATCH(TBL_CalcDarwin[[#This Row],[Darwin Temp.
°C]],Curva_Temp[Temp]))</f>
        <v>15</v>
      </c>
      <c r="Z135" s="41">
        <f>INDEX(Curva_Temp[Warranted Power Curve for 
1.194Kg/m3 air density '[kW']
SG 5.0-145 (AM 0, 5.0MW) AT 
90M],MATCH(TBL_CalcDarwin[[#This Row],[Darwin Temp.
°C]],Curva_Temp[Temp]))</f>
        <v>5000</v>
      </c>
      <c r="AA135" s="41" cm="1">
        <f t="array" ref="AA135">INDEX(Curva_Temp[Temp],MATCH(TBL_CalcDarwin[[#This Row],[Darwin Temp.
°C]],Curva_Temp[Temp])+1)</f>
        <v>20</v>
      </c>
      <c r="AB135" s="41" cm="1">
        <f t="array" ref="AB135">INDEX(Curva_Temp[Warranted Power Curve for 
1.194Kg/m3 air density '[kW']
SG 5.0-145 (AM 0, 5.0MW) AT 
90M],MATCH(TBL_CalcDarwin[[#This Row],[Darwin Temp.
°C]],Curva_Temp[Temp])+1)</f>
        <v>5000</v>
      </c>
      <c r="AC135" s="45">
        <f>HLOOKUP(TBL_CalcDarwin[[#This Row],[Fecha]],'Plantilla AEG ES'!$E$1:$HX$13,2,FALSE)</f>
        <v>5</v>
      </c>
      <c r="AD135" s="45">
        <f>HLOOKUP(TBL_CalcDarwin[[#This Row],[Fecha]],'Plantilla AEG ES'!$E$1:$HX$13,3,FALSE)</f>
        <v>8</v>
      </c>
      <c r="AE135" s="45">
        <f>HLOOKUP(TBL_CalcDarwin[[#This Row],[Fecha]],'Plantilla AEG ES'!$E$1:$HX$13,4,FALSE)</f>
        <v>12</v>
      </c>
      <c r="AF135" s="45">
        <f>HLOOKUP(TBL_CalcDarwin[[#This Row],[Fecha]],'Plantilla AEG ES'!$E$1:$HX$13,5,FALSE)</f>
        <v>1</v>
      </c>
      <c r="AG135" s="45">
        <f>HLOOKUP(TBL_CalcDarwin[[#This Row],[Fecha]],'Plantilla AEG ES'!$E$1:$HX$13,6,FALSE)</f>
        <v>1</v>
      </c>
      <c r="AH135" s="45">
        <f>HLOOKUP(TBL_CalcDarwin[[#This Row],[Fecha]],'Plantilla AEG ES'!$E$1:$HX$13,7,FALSE)</f>
        <v>0</v>
      </c>
      <c r="AI135" s="46">
        <f>HLOOKUP(TBL_CalcDarwin[[#This Row],[Fecha]],'Plantilla AEG ES'!$E$1:$HX$13,8,FALSE)</f>
        <v>0</v>
      </c>
      <c r="AJ135" s="46">
        <f>HLOOKUP(TBL_CalcDarwin[[#This Row],[Fecha]],'Plantilla AEG ES'!$E$1:$HX$13,9,FALSE)</f>
        <v>3</v>
      </c>
      <c r="AK135" s="46">
        <f>HLOOKUP(TBL_CalcDarwin[[#This Row],[Fecha]],'Plantilla AEG ES'!$E$1:$HX$13,10,FALSE)</f>
        <v>12</v>
      </c>
      <c r="AL135" s="46">
        <f>HLOOKUP(TBL_CalcDarwin[[#This Row],[Fecha]],'Plantilla AEG ES'!$E$1:$HX$13,11,FALSE)</f>
        <v>1</v>
      </c>
      <c r="AM135" s="46">
        <f>HLOOKUP(TBL_CalcDarwin[[#This Row],[Fecha]],'Plantilla AEG ES'!$E$1:$HX$13,12,FALSE)</f>
        <v>7</v>
      </c>
      <c r="AN135" s="46">
        <f>HLOOKUP(TBL_CalcDarwin[[#This Row],[Fecha]],'Plantilla AEG ES'!$E$1:$HX$13,13,FALSE)</f>
        <v>1</v>
      </c>
      <c r="AO135" s="37">
        <f>TBL_CalcDarwin[[#This Row],[Lomitas - Barra A - 5.2 - Cerro]]+TBL_CalcDarwin[[#This Row],[Lomitas - Barra A - 5.2 - Medio]]+TBL_CalcDarwin[[#This Row],[Lomitas - Barra A - 5.2 - Mar]]</f>
        <v>25</v>
      </c>
      <c r="AP1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116.81400000000001</v>
      </c>
      <c r="AR1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113.44900000000001</v>
      </c>
      <c r="AS135" s="37">
        <f>TBL_CalcDarwin[[#This Row],[Expansión - Barra A - 5.2 - Cerro]]+TBL_CalcDarwin[[#This Row],[Expansión - Barra A - 5.2 - Medio]]+TBL_CalcDarwin[[#This Row],[Expansión - Barra A - 5.2 - Mar]]</f>
        <v>2</v>
      </c>
      <c r="AT135" s="37">
        <f>TBL_CalcDarwin[[#This Row],[Expansión - Barra B - 5.2 - Cerro]]</f>
        <v>1</v>
      </c>
      <c r="AU1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8.322000000000001</v>
      </c>
      <c r="AV135" s="29">
        <f>TBL_CalcDarwin[[#This Row],[Expansión - Barra B - 5.2 - Cerro]]*TBL_CalcDarwin[[#This Row],[AEG 5.2 MW Cerro]]</f>
        <v>3.3660000000000001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5">
        <f t="shared" si="13"/>
        <v>45589.583333333016</v>
      </c>
      <c r="C136" s="17">
        <f t="shared" si="12"/>
        <v>5.5833333333333384</v>
      </c>
      <c r="D136" s="34">
        <f>TBL_CalcDarwin[[#This Row],[Darwin PLOM
MW]]+TBL_CalcDarwin[[#This Row],[Darwin PLOME
MW]]</f>
        <v>246.12899999999996</v>
      </c>
      <c r="E136" s="34">
        <f>TBL_CalcDarwin[[#This Row],[PLOM MW TOTAL BARRA A]]+TBL_CalcDarwin[[#This Row],[PLOM MW TOTAL BARRA B]]</f>
        <v>233.48899999999998</v>
      </c>
      <c r="F136" s="34">
        <f>TBL_CalcDarwin[[#This Row],[PLOME MW TOTAL BARRA A]]+TBL_CalcDarwin[[#This Row],[PLOME MW TOTAL BARRA B]]</f>
        <v>12.64</v>
      </c>
      <c r="G136" s="48">
        <f>'Plantilla Datos'!D141</f>
        <v>10.1</v>
      </c>
      <c r="H136" s="48">
        <f>'Plantilla Datos'!E141</f>
        <v>12.5</v>
      </c>
      <c r="I136" s="49">
        <f>'Plantilla Datos'!F141</f>
        <v>18.899999999999999</v>
      </c>
      <c r="J136" s="47">
        <f>CEILING('Plantilla Datos'!$L$3*TBL_CalcDarwin[[#This Row],[Darwin Gusts
m/s]],0.5)</f>
        <v>9.5</v>
      </c>
      <c r="K136" s="47">
        <f>CEILING('Plantilla Datos'!$L$4*TBL_CalcDarwin[[#This Row],[Darwin Gusts
m/s]],0.5)</f>
        <v>11</v>
      </c>
      <c r="L136" s="47">
        <f>CEILING(TBL_CalcDarwin[[#This Row],[Darwin Gusts
m/s]],0.5)</f>
        <v>12.5</v>
      </c>
      <c r="M1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1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5.0439999999999996</v>
      </c>
      <c r="Q136" s="41">
        <f>INDEX(Curva_Temp[Temp],MATCH(TBL_CalcDarwin[[#This Row],[Darwin Temp.
°C]],Curva_Temp[Temp]))</f>
        <v>15</v>
      </c>
      <c r="R136" s="41">
        <f>INDEX(Curva_Temp[Warranted Power Curve for 
1.194Kg/m3 air density '[kW']
SG 5.0-145 (AM+1, 5.2MW) AT 
90M],MATCH(TBL_CalcDarwin[[#This Row],[Darwin Temp.
°C]],Curva_Temp[Temp]))</f>
        <v>5200</v>
      </c>
      <c r="S136" s="41" cm="1">
        <f t="array" ref="S136">INDEX(Curva_Temp[Temp],MATCH(TBL_CalcDarwin[[#This Row],[Darwin Temp.
°C]],Curva_Temp[Temp])+1)</f>
        <v>20</v>
      </c>
      <c r="T136" s="41" cm="1">
        <f t="array" ref="T136">INDEX(Curva_Temp[Warranted Power Curve for 
1.194Kg/m3 air density '[kW']
SG 5.0-145 (AM+1, 5.2MW) AT 
90M],MATCH(TBL_CalcDarwin[[#This Row],[Darwin Temp.
°C]],Curva_Temp[Temp])+1)</f>
        <v>5000</v>
      </c>
      <c r="U1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36" s="41">
        <f>INDEX(Curva_Temp[Temp],MATCH(TBL_CalcDarwin[[#This Row],[Darwin Temp.
°C]],Curva_Temp[Temp]))</f>
        <v>15</v>
      </c>
      <c r="Z136" s="41">
        <f>INDEX(Curva_Temp[Warranted Power Curve for 
1.194Kg/m3 air density '[kW']
SG 5.0-145 (AM 0, 5.0MW) AT 
90M],MATCH(TBL_CalcDarwin[[#This Row],[Darwin Temp.
°C]],Curva_Temp[Temp]))</f>
        <v>5000</v>
      </c>
      <c r="AA136" s="41" cm="1">
        <f t="array" ref="AA136">INDEX(Curva_Temp[Temp],MATCH(TBL_CalcDarwin[[#This Row],[Darwin Temp.
°C]],Curva_Temp[Temp])+1)</f>
        <v>20</v>
      </c>
      <c r="AB136" s="41" cm="1">
        <f t="array" ref="AB136">INDEX(Curva_Temp[Warranted Power Curve for 
1.194Kg/m3 air density '[kW']
SG 5.0-145 (AM 0, 5.0MW) AT 
90M],MATCH(TBL_CalcDarwin[[#This Row],[Darwin Temp.
°C]],Curva_Temp[Temp])+1)</f>
        <v>5000</v>
      </c>
      <c r="AC136" s="45">
        <f>HLOOKUP(TBL_CalcDarwin[[#This Row],[Fecha]],'Plantilla AEG ES'!$E$1:$HX$13,2,FALSE)</f>
        <v>5</v>
      </c>
      <c r="AD136" s="45">
        <f>HLOOKUP(TBL_CalcDarwin[[#This Row],[Fecha]],'Plantilla AEG ES'!$E$1:$HX$13,3,FALSE)</f>
        <v>8</v>
      </c>
      <c r="AE136" s="45">
        <f>HLOOKUP(TBL_CalcDarwin[[#This Row],[Fecha]],'Plantilla AEG ES'!$E$1:$HX$13,4,FALSE)</f>
        <v>12</v>
      </c>
      <c r="AF136" s="45">
        <f>HLOOKUP(TBL_CalcDarwin[[#This Row],[Fecha]],'Plantilla AEG ES'!$E$1:$HX$13,5,FALSE)</f>
        <v>1</v>
      </c>
      <c r="AG136" s="45">
        <f>HLOOKUP(TBL_CalcDarwin[[#This Row],[Fecha]],'Plantilla AEG ES'!$E$1:$HX$13,6,FALSE)</f>
        <v>1</v>
      </c>
      <c r="AH136" s="45">
        <f>HLOOKUP(TBL_CalcDarwin[[#This Row],[Fecha]],'Plantilla AEG ES'!$E$1:$HX$13,7,FALSE)</f>
        <v>0</v>
      </c>
      <c r="AI136" s="46">
        <f>HLOOKUP(TBL_CalcDarwin[[#This Row],[Fecha]],'Plantilla AEG ES'!$E$1:$HX$13,8,FALSE)</f>
        <v>0</v>
      </c>
      <c r="AJ136" s="46">
        <f>HLOOKUP(TBL_CalcDarwin[[#This Row],[Fecha]],'Plantilla AEG ES'!$E$1:$HX$13,9,FALSE)</f>
        <v>3</v>
      </c>
      <c r="AK136" s="46">
        <f>HLOOKUP(TBL_CalcDarwin[[#This Row],[Fecha]],'Plantilla AEG ES'!$E$1:$HX$13,10,FALSE)</f>
        <v>12</v>
      </c>
      <c r="AL136" s="46">
        <f>HLOOKUP(TBL_CalcDarwin[[#This Row],[Fecha]],'Plantilla AEG ES'!$E$1:$HX$13,11,FALSE)</f>
        <v>1</v>
      </c>
      <c r="AM136" s="46">
        <f>HLOOKUP(TBL_CalcDarwin[[#This Row],[Fecha]],'Plantilla AEG ES'!$E$1:$HX$13,12,FALSE)</f>
        <v>7</v>
      </c>
      <c r="AN136" s="46">
        <f>HLOOKUP(TBL_CalcDarwin[[#This Row],[Fecha]],'Plantilla AEG ES'!$E$1:$HX$13,13,FALSE)</f>
        <v>1</v>
      </c>
      <c r="AO136" s="37">
        <f>TBL_CalcDarwin[[#This Row],[Lomitas - Barra A - 5.2 - Cerro]]+TBL_CalcDarwin[[#This Row],[Lomitas - Barra A - 5.2 - Medio]]+TBL_CalcDarwin[[#This Row],[Lomitas - Barra A - 5.2 - Mar]]</f>
        <v>25</v>
      </c>
      <c r="AP1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119.386</v>
      </c>
      <c r="AR1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114.10299999999998</v>
      </c>
      <c r="AS136" s="37">
        <f>TBL_CalcDarwin[[#This Row],[Expansión - Barra A - 5.2 - Cerro]]+TBL_CalcDarwin[[#This Row],[Expansión - Barra A - 5.2 - Medio]]+TBL_CalcDarwin[[#This Row],[Expansión - Barra A - 5.2 - Mar]]</f>
        <v>2</v>
      </c>
      <c r="AT136" s="37">
        <f>TBL_CalcDarwin[[#This Row],[Expansión - Barra B - 5.2 - Cerro]]</f>
        <v>1</v>
      </c>
      <c r="AU1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36" s="29">
        <f>TBL_CalcDarwin[[#This Row],[Expansión - Barra B - 5.2 - Cerro]]*TBL_CalcDarwin[[#This Row],[AEG 5.2 MW Cerro]]</f>
        <v>3.8420000000000001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5">
        <f t="shared" si="13"/>
        <v>45589.62499999968</v>
      </c>
      <c r="C137" s="17">
        <f t="shared" si="12"/>
        <v>5.6250000000000053</v>
      </c>
      <c r="D137" s="34">
        <f>TBL_CalcDarwin[[#This Row],[Darwin PLOM
MW]]+TBL_CalcDarwin[[#This Row],[Darwin PLOME
MW]]</f>
        <v>246.65800000000002</v>
      </c>
      <c r="E137" s="34">
        <f>TBL_CalcDarwin[[#This Row],[PLOM MW TOTAL BARRA A]]+TBL_CalcDarwin[[#This Row],[PLOM MW TOTAL BARRA B]]</f>
        <v>234.018</v>
      </c>
      <c r="F137" s="34">
        <f>TBL_CalcDarwin[[#This Row],[PLOME MW TOTAL BARRA A]]+TBL_CalcDarwin[[#This Row],[PLOME MW TOTAL BARRA B]]</f>
        <v>12.64</v>
      </c>
      <c r="G137" s="48">
        <f>'Plantilla Datos'!D142</f>
        <v>10.199999999999999</v>
      </c>
      <c r="H137" s="48">
        <f>'Plantilla Datos'!E142</f>
        <v>12.6</v>
      </c>
      <c r="I137" s="49">
        <f>'Plantilla Datos'!F142</f>
        <v>18.399999999999999</v>
      </c>
      <c r="J137" s="47">
        <f>CEILING('Plantilla Datos'!$L$3*TBL_CalcDarwin[[#This Row],[Darwin Gusts
m/s]],0.5)</f>
        <v>9.5</v>
      </c>
      <c r="K137" s="47">
        <f>CEILING('Plantilla Datos'!$L$4*TBL_CalcDarwin[[#This Row],[Darwin Gusts
m/s]],0.5)</f>
        <v>11</v>
      </c>
      <c r="L137" s="47">
        <f>CEILING(TBL_CalcDarwin[[#This Row],[Darwin Gusts
m/s]],0.5)</f>
        <v>13</v>
      </c>
      <c r="M1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1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5.0640000000000001</v>
      </c>
      <c r="Q137" s="41">
        <f>INDEX(Curva_Temp[Temp],MATCH(TBL_CalcDarwin[[#This Row],[Darwin Temp.
°C]],Curva_Temp[Temp]))</f>
        <v>15</v>
      </c>
      <c r="R137" s="41">
        <f>INDEX(Curva_Temp[Warranted Power Curve for 
1.194Kg/m3 air density '[kW']
SG 5.0-145 (AM+1, 5.2MW) AT 
90M],MATCH(TBL_CalcDarwin[[#This Row],[Darwin Temp.
°C]],Curva_Temp[Temp]))</f>
        <v>5200</v>
      </c>
      <c r="S137" s="41" cm="1">
        <f t="array" ref="S137">INDEX(Curva_Temp[Temp],MATCH(TBL_CalcDarwin[[#This Row],[Darwin Temp.
°C]],Curva_Temp[Temp])+1)</f>
        <v>20</v>
      </c>
      <c r="T137" s="41" cm="1">
        <f t="array" ref="T137">INDEX(Curva_Temp[Warranted Power Curve for 
1.194Kg/m3 air density '[kW']
SG 5.0-145 (AM+1, 5.2MW) AT 
90M],MATCH(TBL_CalcDarwin[[#This Row],[Darwin Temp.
°C]],Curva_Temp[Temp])+1)</f>
        <v>5000</v>
      </c>
      <c r="U1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37" s="41">
        <f>INDEX(Curva_Temp[Temp],MATCH(TBL_CalcDarwin[[#This Row],[Darwin Temp.
°C]],Curva_Temp[Temp]))</f>
        <v>15</v>
      </c>
      <c r="Z137" s="41">
        <f>INDEX(Curva_Temp[Warranted Power Curve for 
1.194Kg/m3 air density '[kW']
SG 5.0-145 (AM 0, 5.0MW) AT 
90M],MATCH(TBL_CalcDarwin[[#This Row],[Darwin Temp.
°C]],Curva_Temp[Temp]))</f>
        <v>5000</v>
      </c>
      <c r="AA137" s="41" cm="1">
        <f t="array" ref="AA137">INDEX(Curva_Temp[Temp],MATCH(TBL_CalcDarwin[[#This Row],[Darwin Temp.
°C]],Curva_Temp[Temp])+1)</f>
        <v>20</v>
      </c>
      <c r="AB137" s="41" cm="1">
        <f t="array" ref="AB137">INDEX(Curva_Temp[Warranted Power Curve for 
1.194Kg/m3 air density '[kW']
SG 5.0-145 (AM 0, 5.0MW) AT 
90M],MATCH(TBL_CalcDarwin[[#This Row],[Darwin Temp.
°C]],Curva_Temp[Temp])+1)</f>
        <v>5000</v>
      </c>
      <c r="AC137" s="45">
        <f>HLOOKUP(TBL_CalcDarwin[[#This Row],[Fecha]],'Plantilla AEG ES'!$E$1:$HX$13,2,FALSE)</f>
        <v>5</v>
      </c>
      <c r="AD137" s="45">
        <f>HLOOKUP(TBL_CalcDarwin[[#This Row],[Fecha]],'Plantilla AEG ES'!$E$1:$HX$13,3,FALSE)</f>
        <v>8</v>
      </c>
      <c r="AE137" s="45">
        <f>HLOOKUP(TBL_CalcDarwin[[#This Row],[Fecha]],'Plantilla AEG ES'!$E$1:$HX$13,4,FALSE)</f>
        <v>12</v>
      </c>
      <c r="AF137" s="45">
        <f>HLOOKUP(TBL_CalcDarwin[[#This Row],[Fecha]],'Plantilla AEG ES'!$E$1:$HX$13,5,FALSE)</f>
        <v>1</v>
      </c>
      <c r="AG137" s="45">
        <f>HLOOKUP(TBL_CalcDarwin[[#This Row],[Fecha]],'Plantilla AEG ES'!$E$1:$HX$13,6,FALSE)</f>
        <v>1</v>
      </c>
      <c r="AH137" s="45">
        <f>HLOOKUP(TBL_CalcDarwin[[#This Row],[Fecha]],'Plantilla AEG ES'!$E$1:$HX$13,7,FALSE)</f>
        <v>0</v>
      </c>
      <c r="AI137" s="46">
        <f>HLOOKUP(TBL_CalcDarwin[[#This Row],[Fecha]],'Plantilla AEG ES'!$E$1:$HX$13,8,FALSE)</f>
        <v>0</v>
      </c>
      <c r="AJ137" s="46">
        <f>HLOOKUP(TBL_CalcDarwin[[#This Row],[Fecha]],'Plantilla AEG ES'!$E$1:$HX$13,9,FALSE)</f>
        <v>3</v>
      </c>
      <c r="AK137" s="46">
        <f>HLOOKUP(TBL_CalcDarwin[[#This Row],[Fecha]],'Plantilla AEG ES'!$E$1:$HX$13,10,FALSE)</f>
        <v>12</v>
      </c>
      <c r="AL137" s="46">
        <f>HLOOKUP(TBL_CalcDarwin[[#This Row],[Fecha]],'Plantilla AEG ES'!$E$1:$HX$13,11,FALSE)</f>
        <v>1</v>
      </c>
      <c r="AM137" s="46">
        <f>HLOOKUP(TBL_CalcDarwin[[#This Row],[Fecha]],'Plantilla AEG ES'!$E$1:$HX$13,12,FALSE)</f>
        <v>7</v>
      </c>
      <c r="AN137" s="46">
        <f>HLOOKUP(TBL_CalcDarwin[[#This Row],[Fecha]],'Plantilla AEG ES'!$E$1:$HX$13,13,FALSE)</f>
        <v>1</v>
      </c>
      <c r="AO137" s="37">
        <f>TBL_CalcDarwin[[#This Row],[Lomitas - Barra A - 5.2 - Cerro]]+TBL_CalcDarwin[[#This Row],[Lomitas - Barra A - 5.2 - Medio]]+TBL_CalcDarwin[[#This Row],[Lomitas - Barra A - 5.2 - Mar]]</f>
        <v>25</v>
      </c>
      <c r="AP1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119.626</v>
      </c>
      <c r="AR1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114.392</v>
      </c>
      <c r="AS137" s="37">
        <f>TBL_CalcDarwin[[#This Row],[Expansión - Barra A - 5.2 - Cerro]]+TBL_CalcDarwin[[#This Row],[Expansión - Barra A - 5.2 - Medio]]+TBL_CalcDarwin[[#This Row],[Expansión - Barra A - 5.2 - Mar]]</f>
        <v>2</v>
      </c>
      <c r="AT137" s="37">
        <f>TBL_CalcDarwin[[#This Row],[Expansión - Barra B - 5.2 - Cerro]]</f>
        <v>1</v>
      </c>
      <c r="AU1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37" s="29">
        <f>TBL_CalcDarwin[[#This Row],[Expansión - Barra B - 5.2 - Cerro]]*TBL_CalcDarwin[[#This Row],[AEG 5.2 MW Cerro]]</f>
        <v>3.8420000000000001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5">
        <f t="shared" si="13"/>
        <v>45589.666666666344</v>
      </c>
      <c r="C138" s="17">
        <f t="shared" si="12"/>
        <v>5.6666666666666723</v>
      </c>
      <c r="D138" s="34">
        <f>TBL_CalcDarwin[[#This Row],[Darwin PLOM
MW]]+TBL_CalcDarwin[[#This Row],[Darwin PLOME
MW]]</f>
        <v>247.13799999999998</v>
      </c>
      <c r="E138" s="34">
        <f>TBL_CalcDarwin[[#This Row],[PLOM MW TOTAL BARRA A]]+TBL_CalcDarwin[[#This Row],[PLOM MW TOTAL BARRA B]]</f>
        <v>234.49799999999999</v>
      </c>
      <c r="F138" s="34">
        <f>TBL_CalcDarwin[[#This Row],[PLOME MW TOTAL BARRA A]]+TBL_CalcDarwin[[#This Row],[PLOME MW TOTAL BARRA B]]</f>
        <v>12.64</v>
      </c>
      <c r="G138" s="48">
        <f>'Plantilla Datos'!D143</f>
        <v>10.3</v>
      </c>
      <c r="H138" s="48">
        <f>'Plantilla Datos'!E143</f>
        <v>12.7</v>
      </c>
      <c r="I138" s="49">
        <f>'Plantilla Datos'!F143</f>
        <v>17.899999999999999</v>
      </c>
      <c r="J138" s="47">
        <f>CEILING('Plantilla Datos'!$L$3*TBL_CalcDarwin[[#This Row],[Darwin Gusts
m/s]],0.5)</f>
        <v>9.5</v>
      </c>
      <c r="K138" s="47">
        <f>CEILING('Plantilla Datos'!$L$4*TBL_CalcDarwin[[#This Row],[Darwin Gusts
m/s]],0.5)</f>
        <v>11</v>
      </c>
      <c r="L138" s="47">
        <f>CEILING(TBL_CalcDarwin[[#This Row],[Darwin Gusts
m/s]],0.5)</f>
        <v>13</v>
      </c>
      <c r="M1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1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5.0839999999999996</v>
      </c>
      <c r="Q138" s="41">
        <f>INDEX(Curva_Temp[Temp],MATCH(TBL_CalcDarwin[[#This Row],[Darwin Temp.
°C]],Curva_Temp[Temp]))</f>
        <v>15</v>
      </c>
      <c r="R138" s="41">
        <f>INDEX(Curva_Temp[Warranted Power Curve for 
1.194Kg/m3 air density '[kW']
SG 5.0-145 (AM+1, 5.2MW) AT 
90M],MATCH(TBL_CalcDarwin[[#This Row],[Darwin Temp.
°C]],Curva_Temp[Temp]))</f>
        <v>5200</v>
      </c>
      <c r="S138" s="41" cm="1">
        <f t="array" ref="S138">INDEX(Curva_Temp[Temp],MATCH(TBL_CalcDarwin[[#This Row],[Darwin Temp.
°C]],Curva_Temp[Temp])+1)</f>
        <v>20</v>
      </c>
      <c r="T138" s="41" cm="1">
        <f t="array" ref="T138">INDEX(Curva_Temp[Warranted Power Curve for 
1.194Kg/m3 air density '[kW']
SG 5.0-145 (AM+1, 5.2MW) AT 
90M],MATCH(TBL_CalcDarwin[[#This Row],[Darwin Temp.
°C]],Curva_Temp[Temp])+1)</f>
        <v>5000</v>
      </c>
      <c r="U1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38" s="41">
        <f>INDEX(Curva_Temp[Temp],MATCH(TBL_CalcDarwin[[#This Row],[Darwin Temp.
°C]],Curva_Temp[Temp]))</f>
        <v>15</v>
      </c>
      <c r="Z138" s="41">
        <f>INDEX(Curva_Temp[Warranted Power Curve for 
1.194Kg/m3 air density '[kW']
SG 5.0-145 (AM 0, 5.0MW) AT 
90M],MATCH(TBL_CalcDarwin[[#This Row],[Darwin Temp.
°C]],Curva_Temp[Temp]))</f>
        <v>5000</v>
      </c>
      <c r="AA138" s="41" cm="1">
        <f t="array" ref="AA138">INDEX(Curva_Temp[Temp],MATCH(TBL_CalcDarwin[[#This Row],[Darwin Temp.
°C]],Curva_Temp[Temp])+1)</f>
        <v>20</v>
      </c>
      <c r="AB138" s="41" cm="1">
        <f t="array" ref="AB138">INDEX(Curva_Temp[Warranted Power Curve for 
1.194Kg/m3 air density '[kW']
SG 5.0-145 (AM 0, 5.0MW) AT 
90M],MATCH(TBL_CalcDarwin[[#This Row],[Darwin Temp.
°C]],Curva_Temp[Temp])+1)</f>
        <v>5000</v>
      </c>
      <c r="AC138" s="45">
        <f>HLOOKUP(TBL_CalcDarwin[[#This Row],[Fecha]],'Plantilla AEG ES'!$E$1:$HX$13,2,FALSE)</f>
        <v>5</v>
      </c>
      <c r="AD138" s="45">
        <f>HLOOKUP(TBL_CalcDarwin[[#This Row],[Fecha]],'Plantilla AEG ES'!$E$1:$HX$13,3,FALSE)</f>
        <v>8</v>
      </c>
      <c r="AE138" s="45">
        <f>HLOOKUP(TBL_CalcDarwin[[#This Row],[Fecha]],'Plantilla AEG ES'!$E$1:$HX$13,4,FALSE)</f>
        <v>12</v>
      </c>
      <c r="AF138" s="45">
        <f>HLOOKUP(TBL_CalcDarwin[[#This Row],[Fecha]],'Plantilla AEG ES'!$E$1:$HX$13,5,FALSE)</f>
        <v>1</v>
      </c>
      <c r="AG138" s="45">
        <f>HLOOKUP(TBL_CalcDarwin[[#This Row],[Fecha]],'Plantilla AEG ES'!$E$1:$HX$13,6,FALSE)</f>
        <v>1</v>
      </c>
      <c r="AH138" s="45">
        <f>HLOOKUP(TBL_CalcDarwin[[#This Row],[Fecha]],'Plantilla AEG ES'!$E$1:$HX$13,7,FALSE)</f>
        <v>0</v>
      </c>
      <c r="AI138" s="46">
        <f>HLOOKUP(TBL_CalcDarwin[[#This Row],[Fecha]],'Plantilla AEG ES'!$E$1:$HX$13,8,FALSE)</f>
        <v>0</v>
      </c>
      <c r="AJ138" s="46">
        <f>HLOOKUP(TBL_CalcDarwin[[#This Row],[Fecha]],'Plantilla AEG ES'!$E$1:$HX$13,9,FALSE)</f>
        <v>3</v>
      </c>
      <c r="AK138" s="46">
        <f>HLOOKUP(TBL_CalcDarwin[[#This Row],[Fecha]],'Plantilla AEG ES'!$E$1:$HX$13,10,FALSE)</f>
        <v>12</v>
      </c>
      <c r="AL138" s="46">
        <f>HLOOKUP(TBL_CalcDarwin[[#This Row],[Fecha]],'Plantilla AEG ES'!$E$1:$HX$13,11,FALSE)</f>
        <v>1</v>
      </c>
      <c r="AM138" s="46">
        <f>HLOOKUP(TBL_CalcDarwin[[#This Row],[Fecha]],'Plantilla AEG ES'!$E$1:$HX$13,12,FALSE)</f>
        <v>7</v>
      </c>
      <c r="AN138" s="46">
        <f>HLOOKUP(TBL_CalcDarwin[[#This Row],[Fecha]],'Plantilla AEG ES'!$E$1:$HX$13,13,FALSE)</f>
        <v>1</v>
      </c>
      <c r="AO138" s="37">
        <f>TBL_CalcDarwin[[#This Row],[Lomitas - Barra A - 5.2 - Cerro]]+TBL_CalcDarwin[[#This Row],[Lomitas - Barra A - 5.2 - Medio]]+TBL_CalcDarwin[[#This Row],[Lomitas - Barra A - 5.2 - Mar]]</f>
        <v>25</v>
      </c>
      <c r="AP1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119.866</v>
      </c>
      <c r="AR1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114.63200000000001</v>
      </c>
      <c r="AS138" s="37">
        <f>TBL_CalcDarwin[[#This Row],[Expansión - Barra A - 5.2 - Cerro]]+TBL_CalcDarwin[[#This Row],[Expansión - Barra A - 5.2 - Medio]]+TBL_CalcDarwin[[#This Row],[Expansión - Barra A - 5.2 - Mar]]</f>
        <v>2</v>
      </c>
      <c r="AT138" s="37">
        <f>TBL_CalcDarwin[[#This Row],[Expansión - Barra B - 5.2 - Cerro]]</f>
        <v>1</v>
      </c>
      <c r="AU1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38" s="29">
        <f>TBL_CalcDarwin[[#This Row],[Expansión - Barra B - 5.2 - Cerro]]*TBL_CalcDarwin[[#This Row],[AEG 5.2 MW Cerro]]</f>
        <v>3.8420000000000001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5">
        <f t="shared" si="13"/>
        <v>45589.708333333008</v>
      </c>
      <c r="C139" s="17">
        <f t="shared" si="12"/>
        <v>5.7083333333333393</v>
      </c>
      <c r="D139" s="34">
        <f>TBL_CalcDarwin[[#This Row],[Darwin PLOM
MW]]+TBL_CalcDarwin[[#This Row],[Darwin PLOME
MW]]</f>
        <v>247.52199999999999</v>
      </c>
      <c r="E139" s="34">
        <f>TBL_CalcDarwin[[#This Row],[PLOM MW TOTAL BARRA A]]+TBL_CalcDarwin[[#This Row],[PLOM MW TOTAL BARRA B]]</f>
        <v>234.88200000000001</v>
      </c>
      <c r="F139" s="34">
        <f>TBL_CalcDarwin[[#This Row],[PLOME MW TOTAL BARRA A]]+TBL_CalcDarwin[[#This Row],[PLOME MW TOTAL BARRA B]]</f>
        <v>12.64</v>
      </c>
      <c r="G139" s="48">
        <f>'Plantilla Datos'!D144</f>
        <v>10.4</v>
      </c>
      <c r="H139" s="48">
        <f>'Plantilla Datos'!E144</f>
        <v>12.8</v>
      </c>
      <c r="I139" s="49">
        <f>'Plantilla Datos'!F144</f>
        <v>17.5</v>
      </c>
      <c r="J139" s="47">
        <f>CEILING('Plantilla Datos'!$L$3*TBL_CalcDarwin[[#This Row],[Darwin Gusts
m/s]],0.5)</f>
        <v>9.5</v>
      </c>
      <c r="K139" s="47">
        <f>CEILING('Plantilla Datos'!$L$4*TBL_CalcDarwin[[#This Row],[Darwin Gusts
m/s]],0.5)</f>
        <v>11</v>
      </c>
      <c r="L139" s="47">
        <f>CEILING(TBL_CalcDarwin[[#This Row],[Darwin Gusts
m/s]],0.5)</f>
        <v>13</v>
      </c>
      <c r="M1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5.0999999999999996</v>
      </c>
      <c r="Q139" s="41">
        <f>INDEX(Curva_Temp[Temp],MATCH(TBL_CalcDarwin[[#This Row],[Darwin Temp.
°C]],Curva_Temp[Temp]))</f>
        <v>15</v>
      </c>
      <c r="R139" s="41">
        <f>INDEX(Curva_Temp[Warranted Power Curve for 
1.194Kg/m3 air density '[kW']
SG 5.0-145 (AM+1, 5.2MW) AT 
90M],MATCH(TBL_CalcDarwin[[#This Row],[Darwin Temp.
°C]],Curva_Temp[Temp]))</f>
        <v>5200</v>
      </c>
      <c r="S139" s="41" cm="1">
        <f t="array" ref="S139">INDEX(Curva_Temp[Temp],MATCH(TBL_CalcDarwin[[#This Row],[Darwin Temp.
°C]],Curva_Temp[Temp])+1)</f>
        <v>20</v>
      </c>
      <c r="T139" s="41" cm="1">
        <f t="array" ref="T139">INDEX(Curva_Temp[Warranted Power Curve for 
1.194Kg/m3 air density '[kW']
SG 5.0-145 (AM+1, 5.2MW) AT 
90M],MATCH(TBL_CalcDarwin[[#This Row],[Darwin Temp.
°C]],Curva_Temp[Temp])+1)</f>
        <v>5000</v>
      </c>
      <c r="U1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39" s="41">
        <f>INDEX(Curva_Temp[Temp],MATCH(TBL_CalcDarwin[[#This Row],[Darwin Temp.
°C]],Curva_Temp[Temp]))</f>
        <v>15</v>
      </c>
      <c r="Z139" s="41">
        <f>INDEX(Curva_Temp[Warranted Power Curve for 
1.194Kg/m3 air density '[kW']
SG 5.0-145 (AM 0, 5.0MW) AT 
90M],MATCH(TBL_CalcDarwin[[#This Row],[Darwin Temp.
°C]],Curva_Temp[Temp]))</f>
        <v>5000</v>
      </c>
      <c r="AA139" s="41" cm="1">
        <f t="array" ref="AA139">INDEX(Curva_Temp[Temp],MATCH(TBL_CalcDarwin[[#This Row],[Darwin Temp.
°C]],Curva_Temp[Temp])+1)</f>
        <v>20</v>
      </c>
      <c r="AB139" s="41" cm="1">
        <f t="array" ref="AB139">INDEX(Curva_Temp[Warranted Power Curve for 
1.194Kg/m3 air density '[kW']
SG 5.0-145 (AM 0, 5.0MW) AT 
90M],MATCH(TBL_CalcDarwin[[#This Row],[Darwin Temp.
°C]],Curva_Temp[Temp])+1)</f>
        <v>5000</v>
      </c>
      <c r="AC139" s="45">
        <f>HLOOKUP(TBL_CalcDarwin[[#This Row],[Fecha]],'Plantilla AEG ES'!$E$1:$HX$13,2,FALSE)</f>
        <v>5</v>
      </c>
      <c r="AD139" s="45">
        <f>HLOOKUP(TBL_CalcDarwin[[#This Row],[Fecha]],'Plantilla AEG ES'!$E$1:$HX$13,3,FALSE)</f>
        <v>8</v>
      </c>
      <c r="AE139" s="45">
        <f>HLOOKUP(TBL_CalcDarwin[[#This Row],[Fecha]],'Plantilla AEG ES'!$E$1:$HX$13,4,FALSE)</f>
        <v>12</v>
      </c>
      <c r="AF139" s="45">
        <f>HLOOKUP(TBL_CalcDarwin[[#This Row],[Fecha]],'Plantilla AEG ES'!$E$1:$HX$13,5,FALSE)</f>
        <v>1</v>
      </c>
      <c r="AG139" s="45">
        <f>HLOOKUP(TBL_CalcDarwin[[#This Row],[Fecha]],'Plantilla AEG ES'!$E$1:$HX$13,6,FALSE)</f>
        <v>1</v>
      </c>
      <c r="AH139" s="45">
        <f>HLOOKUP(TBL_CalcDarwin[[#This Row],[Fecha]],'Plantilla AEG ES'!$E$1:$HX$13,7,FALSE)</f>
        <v>0</v>
      </c>
      <c r="AI139" s="46">
        <f>HLOOKUP(TBL_CalcDarwin[[#This Row],[Fecha]],'Plantilla AEG ES'!$E$1:$HX$13,8,FALSE)</f>
        <v>0</v>
      </c>
      <c r="AJ139" s="46">
        <f>HLOOKUP(TBL_CalcDarwin[[#This Row],[Fecha]],'Plantilla AEG ES'!$E$1:$HX$13,9,FALSE)</f>
        <v>3</v>
      </c>
      <c r="AK139" s="46">
        <f>HLOOKUP(TBL_CalcDarwin[[#This Row],[Fecha]],'Plantilla AEG ES'!$E$1:$HX$13,10,FALSE)</f>
        <v>12</v>
      </c>
      <c r="AL139" s="46">
        <f>HLOOKUP(TBL_CalcDarwin[[#This Row],[Fecha]],'Plantilla AEG ES'!$E$1:$HX$13,11,FALSE)</f>
        <v>1</v>
      </c>
      <c r="AM139" s="46">
        <f>HLOOKUP(TBL_CalcDarwin[[#This Row],[Fecha]],'Plantilla AEG ES'!$E$1:$HX$13,12,FALSE)</f>
        <v>7</v>
      </c>
      <c r="AN139" s="46">
        <f>HLOOKUP(TBL_CalcDarwin[[#This Row],[Fecha]],'Plantilla AEG ES'!$E$1:$HX$13,13,FALSE)</f>
        <v>1</v>
      </c>
      <c r="AO139" s="37">
        <f>TBL_CalcDarwin[[#This Row],[Lomitas - Barra A - 5.2 - Cerro]]+TBL_CalcDarwin[[#This Row],[Lomitas - Barra A - 5.2 - Medio]]+TBL_CalcDarwin[[#This Row],[Lomitas - Barra A - 5.2 - Mar]]</f>
        <v>25</v>
      </c>
      <c r="AP1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120.05799999999999</v>
      </c>
      <c r="AR1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114.824</v>
      </c>
      <c r="AS139" s="37">
        <f>TBL_CalcDarwin[[#This Row],[Expansión - Barra A - 5.2 - Cerro]]+TBL_CalcDarwin[[#This Row],[Expansión - Barra A - 5.2 - Medio]]+TBL_CalcDarwin[[#This Row],[Expansión - Barra A - 5.2 - Mar]]</f>
        <v>2</v>
      </c>
      <c r="AT139" s="37">
        <f>TBL_CalcDarwin[[#This Row],[Expansión - Barra B - 5.2 - Cerro]]</f>
        <v>1</v>
      </c>
      <c r="AU1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39" s="29">
        <f>TBL_CalcDarwin[[#This Row],[Expansión - Barra B - 5.2 - Cerro]]*TBL_CalcDarwin[[#This Row],[AEG 5.2 MW Cerro]]</f>
        <v>3.8420000000000001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5">
        <f t="shared" si="13"/>
        <v>45589.749999999673</v>
      </c>
      <c r="C140" s="17">
        <f t="shared" si="12"/>
        <v>5.7500000000000062</v>
      </c>
      <c r="D140" s="34">
        <f>TBL_CalcDarwin[[#This Row],[Darwin PLOM
MW]]+TBL_CalcDarwin[[#This Row],[Darwin PLOME
MW]]</f>
        <v>249.97</v>
      </c>
      <c r="E140" s="34">
        <f>TBL_CalcDarwin[[#This Row],[PLOM MW TOTAL BARRA A]]+TBL_CalcDarwin[[#This Row],[PLOM MW TOTAL BARRA B]]</f>
        <v>237.166</v>
      </c>
      <c r="F140" s="34">
        <f>TBL_CalcDarwin[[#This Row],[PLOME MW TOTAL BARRA A]]+TBL_CalcDarwin[[#This Row],[PLOME MW TOTAL BARRA B]]</f>
        <v>12.804</v>
      </c>
      <c r="G140" s="48">
        <f>'Plantilla Datos'!D145</f>
        <v>10.4</v>
      </c>
      <c r="H140" s="48">
        <f>'Plantilla Datos'!E145</f>
        <v>13</v>
      </c>
      <c r="I140" s="49">
        <f>'Plantilla Datos'!F145</f>
        <v>17</v>
      </c>
      <c r="J140" s="47">
        <f>CEILING('Plantilla Datos'!$L$3*TBL_CalcDarwin[[#This Row],[Darwin Gusts
m/s]],0.5)</f>
        <v>9.5</v>
      </c>
      <c r="K140" s="47">
        <f>CEILING('Plantilla Datos'!$L$4*TBL_CalcDarwin[[#This Row],[Darwin Gusts
m/s]],0.5)</f>
        <v>11.5</v>
      </c>
      <c r="L140" s="47">
        <f>CEILING(TBL_CalcDarwin[[#This Row],[Darwin Gusts
m/s]],0.5)</f>
        <v>13</v>
      </c>
      <c r="M1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5.12</v>
      </c>
      <c r="P1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</v>
      </c>
      <c r="Q140" s="41">
        <f>INDEX(Curva_Temp[Temp],MATCH(TBL_CalcDarwin[[#This Row],[Darwin Temp.
°C]],Curva_Temp[Temp]))</f>
        <v>15</v>
      </c>
      <c r="R140" s="41">
        <f>INDEX(Curva_Temp[Warranted Power Curve for 
1.194Kg/m3 air density '[kW']
SG 5.0-145 (AM+1, 5.2MW) AT 
90M],MATCH(TBL_CalcDarwin[[#This Row],[Darwin Temp.
°C]],Curva_Temp[Temp]))</f>
        <v>5200</v>
      </c>
      <c r="S140" s="41" cm="1">
        <f t="array" ref="S140">INDEX(Curva_Temp[Temp],MATCH(TBL_CalcDarwin[[#This Row],[Darwin Temp.
°C]],Curva_Temp[Temp])+1)</f>
        <v>20</v>
      </c>
      <c r="T140" s="41" cm="1">
        <f t="array" ref="T140">INDEX(Curva_Temp[Warranted Power Curve for 
1.194Kg/m3 air density '[kW']
SG 5.0-145 (AM+1, 5.2MW) AT 
90M],MATCH(TBL_CalcDarwin[[#This Row],[Darwin Temp.
°C]],Curva_Temp[Temp])+1)</f>
        <v>5000</v>
      </c>
      <c r="U1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40" s="41">
        <f>INDEX(Curva_Temp[Temp],MATCH(TBL_CalcDarwin[[#This Row],[Darwin Temp.
°C]],Curva_Temp[Temp]))</f>
        <v>15</v>
      </c>
      <c r="Z140" s="41">
        <f>INDEX(Curva_Temp[Warranted Power Curve for 
1.194Kg/m3 air density '[kW']
SG 5.0-145 (AM 0, 5.0MW) AT 
90M],MATCH(TBL_CalcDarwin[[#This Row],[Darwin Temp.
°C]],Curva_Temp[Temp]))</f>
        <v>5000</v>
      </c>
      <c r="AA140" s="41" cm="1">
        <f t="array" ref="AA140">INDEX(Curva_Temp[Temp],MATCH(TBL_CalcDarwin[[#This Row],[Darwin Temp.
°C]],Curva_Temp[Temp])+1)</f>
        <v>20</v>
      </c>
      <c r="AB140" s="41" cm="1">
        <f t="array" ref="AB140">INDEX(Curva_Temp[Warranted Power Curve for 
1.194Kg/m3 air density '[kW']
SG 5.0-145 (AM 0, 5.0MW) AT 
90M],MATCH(TBL_CalcDarwin[[#This Row],[Darwin Temp.
°C]],Curva_Temp[Temp])+1)</f>
        <v>5000</v>
      </c>
      <c r="AC140" s="45">
        <f>HLOOKUP(TBL_CalcDarwin[[#This Row],[Fecha]],'Plantilla AEG ES'!$E$1:$HX$13,2,FALSE)</f>
        <v>5</v>
      </c>
      <c r="AD140" s="45">
        <f>HLOOKUP(TBL_CalcDarwin[[#This Row],[Fecha]],'Plantilla AEG ES'!$E$1:$HX$13,3,FALSE)</f>
        <v>8</v>
      </c>
      <c r="AE140" s="45">
        <f>HLOOKUP(TBL_CalcDarwin[[#This Row],[Fecha]],'Plantilla AEG ES'!$E$1:$HX$13,4,FALSE)</f>
        <v>12</v>
      </c>
      <c r="AF140" s="45">
        <f>HLOOKUP(TBL_CalcDarwin[[#This Row],[Fecha]],'Plantilla AEG ES'!$E$1:$HX$13,5,FALSE)</f>
        <v>1</v>
      </c>
      <c r="AG140" s="45">
        <f>HLOOKUP(TBL_CalcDarwin[[#This Row],[Fecha]],'Plantilla AEG ES'!$E$1:$HX$13,6,FALSE)</f>
        <v>1</v>
      </c>
      <c r="AH140" s="45">
        <f>HLOOKUP(TBL_CalcDarwin[[#This Row],[Fecha]],'Plantilla AEG ES'!$E$1:$HX$13,7,FALSE)</f>
        <v>0</v>
      </c>
      <c r="AI140" s="46">
        <f>HLOOKUP(TBL_CalcDarwin[[#This Row],[Fecha]],'Plantilla AEG ES'!$E$1:$HX$13,8,FALSE)</f>
        <v>0</v>
      </c>
      <c r="AJ140" s="46">
        <f>HLOOKUP(TBL_CalcDarwin[[#This Row],[Fecha]],'Plantilla AEG ES'!$E$1:$HX$13,9,FALSE)</f>
        <v>3</v>
      </c>
      <c r="AK140" s="46">
        <f>HLOOKUP(TBL_CalcDarwin[[#This Row],[Fecha]],'Plantilla AEG ES'!$E$1:$HX$13,10,FALSE)</f>
        <v>12</v>
      </c>
      <c r="AL140" s="46">
        <f>HLOOKUP(TBL_CalcDarwin[[#This Row],[Fecha]],'Plantilla AEG ES'!$E$1:$HX$13,11,FALSE)</f>
        <v>1</v>
      </c>
      <c r="AM140" s="46">
        <f>HLOOKUP(TBL_CalcDarwin[[#This Row],[Fecha]],'Plantilla AEG ES'!$E$1:$HX$13,12,FALSE)</f>
        <v>7</v>
      </c>
      <c r="AN140" s="46">
        <f>HLOOKUP(TBL_CalcDarwin[[#This Row],[Fecha]],'Plantilla AEG ES'!$E$1:$HX$13,13,FALSE)</f>
        <v>1</v>
      </c>
      <c r="AO140" s="37">
        <f>TBL_CalcDarwin[[#This Row],[Lomitas - Barra A - 5.2 - Cerro]]+TBL_CalcDarwin[[#This Row],[Lomitas - Barra A - 5.2 - Medio]]+TBL_CalcDarwin[[#This Row],[Lomitas - Barra A - 5.2 - Mar]]</f>
        <v>25</v>
      </c>
      <c r="AP1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121.61</v>
      </c>
      <c r="AR1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115.556</v>
      </c>
      <c r="AS140" s="37">
        <f>TBL_CalcDarwin[[#This Row],[Expansión - Barra A - 5.2 - Cerro]]+TBL_CalcDarwin[[#This Row],[Expansión - Barra A - 5.2 - Medio]]+TBL_CalcDarwin[[#This Row],[Expansión - Barra A - 5.2 - Mar]]</f>
        <v>2</v>
      </c>
      <c r="AT140" s="37">
        <f>TBL_CalcDarwin[[#This Row],[Expansión - Barra B - 5.2 - Cerro]]</f>
        <v>1</v>
      </c>
      <c r="AU1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8.9619999999999997</v>
      </c>
      <c r="AV140" s="29">
        <f>TBL_CalcDarwin[[#This Row],[Expansión - Barra B - 5.2 - Cerro]]*TBL_CalcDarwin[[#This Row],[AEG 5.2 MW Cerro]]</f>
        <v>3.8420000000000001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5">
        <f t="shared" si="13"/>
        <v>45589.791666666337</v>
      </c>
      <c r="C141" s="17">
        <f t="shared" si="12"/>
        <v>5.7916666666666732</v>
      </c>
      <c r="D141" s="34">
        <f>TBL_CalcDarwin[[#This Row],[Darwin PLOM
MW]]+TBL_CalcDarwin[[#This Row],[Darwin PLOME
MW]]</f>
        <v>250.85499999999999</v>
      </c>
      <c r="E141" s="34">
        <f>TBL_CalcDarwin[[#This Row],[PLOM MW TOTAL BARRA A]]+TBL_CalcDarwin[[#This Row],[PLOM MW TOTAL BARRA B]]</f>
        <v>238.02699999999999</v>
      </c>
      <c r="F141" s="34">
        <f>TBL_CalcDarwin[[#This Row],[PLOME MW TOTAL BARRA A]]+TBL_CalcDarwin[[#This Row],[PLOME MW TOTAL BARRA B]]</f>
        <v>12.828000000000001</v>
      </c>
      <c r="G141" s="48">
        <f>'Plantilla Datos'!D146</f>
        <v>10.5</v>
      </c>
      <c r="H141" s="48">
        <f>'Plantilla Datos'!E146</f>
        <v>13.1</v>
      </c>
      <c r="I141" s="49">
        <f>'Plantilla Datos'!F146</f>
        <v>16.399999999999999</v>
      </c>
      <c r="J141" s="47">
        <f>CEILING('Plantilla Datos'!$L$3*TBL_CalcDarwin[[#This Row],[Darwin Gusts
m/s]],0.5)</f>
        <v>9.5</v>
      </c>
      <c r="K141" s="47">
        <f>CEILING('Plantilla Datos'!$L$4*TBL_CalcDarwin[[#This Row],[Darwin Gusts
m/s]],0.5)</f>
        <v>11.5</v>
      </c>
      <c r="L141" s="47">
        <f>CEILING(TBL_CalcDarwin[[#This Row],[Darwin Gusts
m/s]],0.5)</f>
        <v>13.5</v>
      </c>
      <c r="M1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5.1440000000000001</v>
      </c>
      <c r="P1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5.1440000000000001</v>
      </c>
      <c r="Q141" s="41">
        <f>INDEX(Curva_Temp[Temp],MATCH(TBL_CalcDarwin[[#This Row],[Darwin Temp.
°C]],Curva_Temp[Temp]))</f>
        <v>15</v>
      </c>
      <c r="R141" s="41">
        <f>INDEX(Curva_Temp[Warranted Power Curve for 
1.194Kg/m3 air density '[kW']
SG 5.0-145 (AM+1, 5.2MW) AT 
90M],MATCH(TBL_CalcDarwin[[#This Row],[Darwin Temp.
°C]],Curva_Temp[Temp]))</f>
        <v>5200</v>
      </c>
      <c r="S141" s="41" cm="1">
        <f t="array" ref="S141">INDEX(Curva_Temp[Temp],MATCH(TBL_CalcDarwin[[#This Row],[Darwin Temp.
°C]],Curva_Temp[Temp])+1)</f>
        <v>20</v>
      </c>
      <c r="T141" s="41" cm="1">
        <f t="array" ref="T141">INDEX(Curva_Temp[Warranted Power Curve for 
1.194Kg/m3 air density '[kW']
SG 5.0-145 (AM+1, 5.2MW) AT 
90M],MATCH(TBL_CalcDarwin[[#This Row],[Darwin Temp.
°C]],Curva_Temp[Temp])+1)</f>
        <v>5000</v>
      </c>
      <c r="U1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41" s="41">
        <f>INDEX(Curva_Temp[Temp],MATCH(TBL_CalcDarwin[[#This Row],[Darwin Temp.
°C]],Curva_Temp[Temp]))</f>
        <v>15</v>
      </c>
      <c r="Z141" s="41">
        <f>INDEX(Curva_Temp[Warranted Power Curve for 
1.194Kg/m3 air density '[kW']
SG 5.0-145 (AM 0, 5.0MW) AT 
90M],MATCH(TBL_CalcDarwin[[#This Row],[Darwin Temp.
°C]],Curva_Temp[Temp]))</f>
        <v>5000</v>
      </c>
      <c r="AA141" s="41" cm="1">
        <f t="array" ref="AA141">INDEX(Curva_Temp[Temp],MATCH(TBL_CalcDarwin[[#This Row],[Darwin Temp.
°C]],Curva_Temp[Temp])+1)</f>
        <v>20</v>
      </c>
      <c r="AB141" s="41" cm="1">
        <f t="array" ref="AB141">INDEX(Curva_Temp[Warranted Power Curve for 
1.194Kg/m3 air density '[kW']
SG 5.0-145 (AM 0, 5.0MW) AT 
90M],MATCH(TBL_CalcDarwin[[#This Row],[Darwin Temp.
°C]],Curva_Temp[Temp])+1)</f>
        <v>5000</v>
      </c>
      <c r="AC141" s="45">
        <f>HLOOKUP(TBL_CalcDarwin[[#This Row],[Fecha]],'Plantilla AEG ES'!$E$1:$HX$13,2,FALSE)</f>
        <v>5</v>
      </c>
      <c r="AD141" s="45">
        <f>HLOOKUP(TBL_CalcDarwin[[#This Row],[Fecha]],'Plantilla AEG ES'!$E$1:$HX$13,3,FALSE)</f>
        <v>8</v>
      </c>
      <c r="AE141" s="45">
        <f>HLOOKUP(TBL_CalcDarwin[[#This Row],[Fecha]],'Plantilla AEG ES'!$E$1:$HX$13,4,FALSE)</f>
        <v>12</v>
      </c>
      <c r="AF141" s="45">
        <f>HLOOKUP(TBL_CalcDarwin[[#This Row],[Fecha]],'Plantilla AEG ES'!$E$1:$HX$13,5,FALSE)</f>
        <v>1</v>
      </c>
      <c r="AG141" s="45">
        <f>HLOOKUP(TBL_CalcDarwin[[#This Row],[Fecha]],'Plantilla AEG ES'!$E$1:$HX$13,6,FALSE)</f>
        <v>1</v>
      </c>
      <c r="AH141" s="45">
        <f>HLOOKUP(TBL_CalcDarwin[[#This Row],[Fecha]],'Plantilla AEG ES'!$E$1:$HX$13,7,FALSE)</f>
        <v>0</v>
      </c>
      <c r="AI141" s="46">
        <f>HLOOKUP(TBL_CalcDarwin[[#This Row],[Fecha]],'Plantilla AEG ES'!$E$1:$HX$13,8,FALSE)</f>
        <v>0</v>
      </c>
      <c r="AJ141" s="46">
        <f>HLOOKUP(TBL_CalcDarwin[[#This Row],[Fecha]],'Plantilla AEG ES'!$E$1:$HX$13,9,FALSE)</f>
        <v>3</v>
      </c>
      <c r="AK141" s="46">
        <f>HLOOKUP(TBL_CalcDarwin[[#This Row],[Fecha]],'Plantilla AEG ES'!$E$1:$HX$13,10,FALSE)</f>
        <v>12</v>
      </c>
      <c r="AL141" s="46">
        <f>HLOOKUP(TBL_CalcDarwin[[#This Row],[Fecha]],'Plantilla AEG ES'!$E$1:$HX$13,11,FALSE)</f>
        <v>1</v>
      </c>
      <c r="AM141" s="46">
        <f>HLOOKUP(TBL_CalcDarwin[[#This Row],[Fecha]],'Plantilla AEG ES'!$E$1:$HX$13,12,FALSE)</f>
        <v>7</v>
      </c>
      <c r="AN141" s="46">
        <f>HLOOKUP(TBL_CalcDarwin[[#This Row],[Fecha]],'Plantilla AEG ES'!$E$1:$HX$13,13,FALSE)</f>
        <v>1</v>
      </c>
      <c r="AO141" s="37">
        <f>TBL_CalcDarwin[[#This Row],[Lomitas - Barra A - 5.2 - Cerro]]+TBL_CalcDarwin[[#This Row],[Lomitas - Barra A - 5.2 - Medio]]+TBL_CalcDarwin[[#This Row],[Lomitas - Barra A - 5.2 - Mar]]</f>
        <v>25</v>
      </c>
      <c r="AP1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122.09</v>
      </c>
      <c r="AR1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115.937</v>
      </c>
      <c r="AS141" s="37">
        <f>TBL_CalcDarwin[[#This Row],[Expansión - Barra A - 5.2 - Cerro]]+TBL_CalcDarwin[[#This Row],[Expansión - Barra A - 5.2 - Medio]]+TBL_CalcDarwin[[#This Row],[Expansión - Barra A - 5.2 - Mar]]</f>
        <v>2</v>
      </c>
      <c r="AT141" s="37">
        <f>TBL_CalcDarwin[[#This Row],[Expansión - Barra B - 5.2 - Cerro]]</f>
        <v>1</v>
      </c>
      <c r="AU1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8.9860000000000007</v>
      </c>
      <c r="AV141" s="29">
        <f>TBL_CalcDarwin[[#This Row],[Expansión - Barra B - 5.2 - Cerro]]*TBL_CalcDarwin[[#This Row],[AEG 5.2 MW Cerro]]</f>
        <v>3.8420000000000001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5">
        <f t="shared" si="13"/>
        <v>45589.833333333001</v>
      </c>
      <c r="C142" s="17">
        <f t="shared" si="12"/>
        <v>5.8333333333333401</v>
      </c>
      <c r="D142" s="34">
        <f>TBL_CalcDarwin[[#This Row],[Darwin PLOM
MW]]+TBL_CalcDarwin[[#This Row],[Darwin PLOME
MW]]</f>
        <v>248.67399999999998</v>
      </c>
      <c r="E142" s="34">
        <f>TBL_CalcDarwin[[#This Row],[PLOM MW TOTAL BARRA A]]+TBL_CalcDarwin[[#This Row],[PLOM MW TOTAL BARRA B]]</f>
        <v>236.03399999999999</v>
      </c>
      <c r="F142" s="34">
        <f>TBL_CalcDarwin[[#This Row],[PLOME MW TOTAL BARRA A]]+TBL_CalcDarwin[[#This Row],[PLOME MW TOTAL BARRA B]]</f>
        <v>12.64</v>
      </c>
      <c r="G142" s="48">
        <f>'Plantilla Datos'!D147</f>
        <v>10.1</v>
      </c>
      <c r="H142" s="48">
        <f>'Plantilla Datos'!E147</f>
        <v>12.6</v>
      </c>
      <c r="I142" s="49">
        <f>'Plantilla Datos'!F147</f>
        <v>16.3</v>
      </c>
      <c r="J142" s="47">
        <f>CEILING('Plantilla Datos'!$L$3*TBL_CalcDarwin[[#This Row],[Darwin Gusts
m/s]],0.5)</f>
        <v>9.5</v>
      </c>
      <c r="K142" s="47">
        <f>CEILING('Plantilla Datos'!$L$4*TBL_CalcDarwin[[#This Row],[Darwin Gusts
m/s]],0.5)</f>
        <v>11</v>
      </c>
      <c r="L142" s="47">
        <f>CEILING(TBL_CalcDarwin[[#This Row],[Darwin Gusts
m/s]],0.5)</f>
        <v>13</v>
      </c>
      <c r="M1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5.1479999999999997</v>
      </c>
      <c r="Q142" s="41">
        <f>INDEX(Curva_Temp[Temp],MATCH(TBL_CalcDarwin[[#This Row],[Darwin Temp.
°C]],Curva_Temp[Temp]))</f>
        <v>15</v>
      </c>
      <c r="R142" s="41">
        <f>INDEX(Curva_Temp[Warranted Power Curve for 
1.194Kg/m3 air density '[kW']
SG 5.0-145 (AM+1, 5.2MW) AT 
90M],MATCH(TBL_CalcDarwin[[#This Row],[Darwin Temp.
°C]],Curva_Temp[Temp]))</f>
        <v>5200</v>
      </c>
      <c r="S142" s="41" cm="1">
        <f t="array" ref="S142">INDEX(Curva_Temp[Temp],MATCH(TBL_CalcDarwin[[#This Row],[Darwin Temp.
°C]],Curva_Temp[Temp])+1)</f>
        <v>20</v>
      </c>
      <c r="T142" s="41" cm="1">
        <f t="array" ref="T142">INDEX(Curva_Temp[Warranted Power Curve for 
1.194Kg/m3 air density '[kW']
SG 5.0-145 (AM+1, 5.2MW) AT 
90M],MATCH(TBL_CalcDarwin[[#This Row],[Darwin Temp.
°C]],Curva_Temp[Temp])+1)</f>
        <v>5000</v>
      </c>
      <c r="U1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42" s="41">
        <f>INDEX(Curva_Temp[Temp],MATCH(TBL_CalcDarwin[[#This Row],[Darwin Temp.
°C]],Curva_Temp[Temp]))</f>
        <v>15</v>
      </c>
      <c r="Z142" s="41">
        <f>INDEX(Curva_Temp[Warranted Power Curve for 
1.194Kg/m3 air density '[kW']
SG 5.0-145 (AM 0, 5.0MW) AT 
90M],MATCH(TBL_CalcDarwin[[#This Row],[Darwin Temp.
°C]],Curva_Temp[Temp]))</f>
        <v>5000</v>
      </c>
      <c r="AA142" s="41" cm="1">
        <f t="array" ref="AA142">INDEX(Curva_Temp[Temp],MATCH(TBL_CalcDarwin[[#This Row],[Darwin Temp.
°C]],Curva_Temp[Temp])+1)</f>
        <v>20</v>
      </c>
      <c r="AB142" s="41" cm="1">
        <f t="array" ref="AB142">INDEX(Curva_Temp[Warranted Power Curve for 
1.194Kg/m3 air density '[kW']
SG 5.0-145 (AM 0, 5.0MW) AT 
90M],MATCH(TBL_CalcDarwin[[#This Row],[Darwin Temp.
°C]],Curva_Temp[Temp])+1)</f>
        <v>5000</v>
      </c>
      <c r="AC142" s="45">
        <f>HLOOKUP(TBL_CalcDarwin[[#This Row],[Fecha]],'Plantilla AEG ES'!$E$1:$HX$13,2,FALSE)</f>
        <v>5</v>
      </c>
      <c r="AD142" s="45">
        <f>HLOOKUP(TBL_CalcDarwin[[#This Row],[Fecha]],'Plantilla AEG ES'!$E$1:$HX$13,3,FALSE)</f>
        <v>8</v>
      </c>
      <c r="AE142" s="45">
        <f>HLOOKUP(TBL_CalcDarwin[[#This Row],[Fecha]],'Plantilla AEG ES'!$E$1:$HX$13,4,FALSE)</f>
        <v>12</v>
      </c>
      <c r="AF142" s="45">
        <f>HLOOKUP(TBL_CalcDarwin[[#This Row],[Fecha]],'Plantilla AEG ES'!$E$1:$HX$13,5,FALSE)</f>
        <v>1</v>
      </c>
      <c r="AG142" s="45">
        <f>HLOOKUP(TBL_CalcDarwin[[#This Row],[Fecha]],'Plantilla AEG ES'!$E$1:$HX$13,6,FALSE)</f>
        <v>1</v>
      </c>
      <c r="AH142" s="45">
        <f>HLOOKUP(TBL_CalcDarwin[[#This Row],[Fecha]],'Plantilla AEG ES'!$E$1:$HX$13,7,FALSE)</f>
        <v>0</v>
      </c>
      <c r="AI142" s="46">
        <f>HLOOKUP(TBL_CalcDarwin[[#This Row],[Fecha]],'Plantilla AEG ES'!$E$1:$HX$13,8,FALSE)</f>
        <v>0</v>
      </c>
      <c r="AJ142" s="46">
        <f>HLOOKUP(TBL_CalcDarwin[[#This Row],[Fecha]],'Plantilla AEG ES'!$E$1:$HX$13,9,FALSE)</f>
        <v>3</v>
      </c>
      <c r="AK142" s="46">
        <f>HLOOKUP(TBL_CalcDarwin[[#This Row],[Fecha]],'Plantilla AEG ES'!$E$1:$HX$13,10,FALSE)</f>
        <v>12</v>
      </c>
      <c r="AL142" s="46">
        <f>HLOOKUP(TBL_CalcDarwin[[#This Row],[Fecha]],'Plantilla AEG ES'!$E$1:$HX$13,11,FALSE)</f>
        <v>1</v>
      </c>
      <c r="AM142" s="46">
        <f>HLOOKUP(TBL_CalcDarwin[[#This Row],[Fecha]],'Plantilla AEG ES'!$E$1:$HX$13,12,FALSE)</f>
        <v>7</v>
      </c>
      <c r="AN142" s="46">
        <f>HLOOKUP(TBL_CalcDarwin[[#This Row],[Fecha]],'Plantilla AEG ES'!$E$1:$HX$13,13,FALSE)</f>
        <v>1</v>
      </c>
      <c r="AO142" s="37">
        <f>TBL_CalcDarwin[[#This Row],[Lomitas - Barra A - 5.2 - Cerro]]+TBL_CalcDarwin[[#This Row],[Lomitas - Barra A - 5.2 - Medio]]+TBL_CalcDarwin[[#This Row],[Lomitas - Barra A - 5.2 - Mar]]</f>
        <v>25</v>
      </c>
      <c r="AP1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120.634</v>
      </c>
      <c r="AR1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115.4</v>
      </c>
      <c r="AS142" s="37">
        <f>TBL_CalcDarwin[[#This Row],[Expansión - Barra A - 5.2 - Cerro]]+TBL_CalcDarwin[[#This Row],[Expansión - Barra A - 5.2 - Medio]]+TBL_CalcDarwin[[#This Row],[Expansión - Barra A - 5.2 - Mar]]</f>
        <v>2</v>
      </c>
      <c r="AT142" s="37">
        <f>TBL_CalcDarwin[[#This Row],[Expansión - Barra B - 5.2 - Cerro]]</f>
        <v>1</v>
      </c>
      <c r="AU1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42" s="29">
        <f>TBL_CalcDarwin[[#This Row],[Expansión - Barra B - 5.2 - Cerro]]*TBL_CalcDarwin[[#This Row],[AEG 5.2 MW Cerro]]</f>
        <v>3.8420000000000001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5">
        <f t="shared" si="13"/>
        <v>45589.874999999665</v>
      </c>
      <c r="C143" s="17">
        <f>C142+TIME(1,0,0)</f>
        <v>5.8750000000000071</v>
      </c>
      <c r="D143" s="34">
        <f>TBL_CalcDarwin[[#This Row],[Darwin PLOM
MW]]+TBL_CalcDarwin[[#This Row],[Darwin PLOME
MW]]</f>
        <v>241.315</v>
      </c>
      <c r="E143" s="34">
        <f>TBL_CalcDarwin[[#This Row],[PLOM MW TOTAL BARRA A]]+TBL_CalcDarwin[[#This Row],[PLOM MW TOTAL BARRA B]]</f>
        <v>229.92</v>
      </c>
      <c r="F143" s="34">
        <f>TBL_CalcDarwin[[#This Row],[PLOME MW TOTAL BARRA A]]+TBL_CalcDarwin[[#This Row],[PLOME MW TOTAL BARRA B]]</f>
        <v>11.395</v>
      </c>
      <c r="G143" s="48">
        <f>'Plantilla Datos'!D148</f>
        <v>9.6999999999999993</v>
      </c>
      <c r="H143" s="48">
        <f>'Plantilla Datos'!E148</f>
        <v>12.1</v>
      </c>
      <c r="I143" s="49">
        <f>'Plantilla Datos'!F148</f>
        <v>16.3</v>
      </c>
      <c r="J143" s="47">
        <f>CEILING('Plantilla Datos'!$L$3*TBL_CalcDarwin[[#This Row],[Darwin Gusts
m/s]],0.5)</f>
        <v>9</v>
      </c>
      <c r="K143" s="47">
        <f>CEILING('Plantilla Datos'!$L$4*TBL_CalcDarwin[[#This Row],[Darwin Gusts
m/s]],0.5)</f>
        <v>10.5</v>
      </c>
      <c r="L143" s="47">
        <f>CEILING(TBL_CalcDarwin[[#This Row],[Darwin Gusts
m/s]],0.5)</f>
        <v>12.5</v>
      </c>
      <c r="M1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5.1479999999999997</v>
      </c>
      <c r="Q143" s="41">
        <f>INDEX(Curva_Temp[Temp],MATCH(TBL_CalcDarwin[[#This Row],[Darwin Temp.
°C]],Curva_Temp[Temp]))</f>
        <v>15</v>
      </c>
      <c r="R143" s="41">
        <f>INDEX(Curva_Temp[Warranted Power Curve for 
1.194Kg/m3 air density '[kW']
SG 5.0-145 (AM+1, 5.2MW) AT 
90M],MATCH(TBL_CalcDarwin[[#This Row],[Darwin Temp.
°C]],Curva_Temp[Temp]))</f>
        <v>5200</v>
      </c>
      <c r="S143" s="41" cm="1">
        <f t="array" ref="S143">INDEX(Curva_Temp[Temp],MATCH(TBL_CalcDarwin[[#This Row],[Darwin Temp.
°C]],Curva_Temp[Temp])+1)</f>
        <v>20</v>
      </c>
      <c r="T143" s="41" cm="1">
        <f t="array" ref="T143">INDEX(Curva_Temp[Warranted Power Curve for 
1.194Kg/m3 air density '[kW']
SG 5.0-145 (AM+1, 5.2MW) AT 
90M],MATCH(TBL_CalcDarwin[[#This Row],[Darwin Temp.
°C]],Curva_Temp[Temp])+1)</f>
        <v>5000</v>
      </c>
      <c r="U1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43" s="41">
        <f>INDEX(Curva_Temp[Temp],MATCH(TBL_CalcDarwin[[#This Row],[Darwin Temp.
°C]],Curva_Temp[Temp]))</f>
        <v>15</v>
      </c>
      <c r="Z143" s="41">
        <f>INDEX(Curva_Temp[Warranted Power Curve for 
1.194Kg/m3 air density '[kW']
SG 5.0-145 (AM 0, 5.0MW) AT 
90M],MATCH(TBL_CalcDarwin[[#This Row],[Darwin Temp.
°C]],Curva_Temp[Temp]))</f>
        <v>5000</v>
      </c>
      <c r="AA143" s="41" cm="1">
        <f t="array" ref="AA143">INDEX(Curva_Temp[Temp],MATCH(TBL_CalcDarwin[[#This Row],[Darwin Temp.
°C]],Curva_Temp[Temp])+1)</f>
        <v>20</v>
      </c>
      <c r="AB143" s="41" cm="1">
        <f t="array" ref="AB143">INDEX(Curva_Temp[Warranted Power Curve for 
1.194Kg/m3 air density '[kW']
SG 5.0-145 (AM 0, 5.0MW) AT 
90M],MATCH(TBL_CalcDarwin[[#This Row],[Darwin Temp.
°C]],Curva_Temp[Temp])+1)</f>
        <v>5000</v>
      </c>
      <c r="AC143" s="45">
        <f>HLOOKUP(TBL_CalcDarwin[[#This Row],[Fecha]],'Plantilla AEG ES'!$E$1:$HX$13,2,FALSE)</f>
        <v>5</v>
      </c>
      <c r="AD143" s="45">
        <f>HLOOKUP(TBL_CalcDarwin[[#This Row],[Fecha]],'Plantilla AEG ES'!$E$1:$HX$13,3,FALSE)</f>
        <v>8</v>
      </c>
      <c r="AE143" s="45">
        <f>HLOOKUP(TBL_CalcDarwin[[#This Row],[Fecha]],'Plantilla AEG ES'!$E$1:$HX$13,4,FALSE)</f>
        <v>12</v>
      </c>
      <c r="AF143" s="45">
        <f>HLOOKUP(TBL_CalcDarwin[[#This Row],[Fecha]],'Plantilla AEG ES'!$E$1:$HX$13,5,FALSE)</f>
        <v>1</v>
      </c>
      <c r="AG143" s="45">
        <f>HLOOKUP(TBL_CalcDarwin[[#This Row],[Fecha]],'Plantilla AEG ES'!$E$1:$HX$13,6,FALSE)</f>
        <v>1</v>
      </c>
      <c r="AH143" s="45">
        <f>HLOOKUP(TBL_CalcDarwin[[#This Row],[Fecha]],'Plantilla AEG ES'!$E$1:$HX$13,7,FALSE)</f>
        <v>0</v>
      </c>
      <c r="AI143" s="46">
        <f>HLOOKUP(TBL_CalcDarwin[[#This Row],[Fecha]],'Plantilla AEG ES'!$E$1:$HX$13,8,FALSE)</f>
        <v>0</v>
      </c>
      <c r="AJ143" s="46">
        <f>HLOOKUP(TBL_CalcDarwin[[#This Row],[Fecha]],'Plantilla AEG ES'!$E$1:$HX$13,9,FALSE)</f>
        <v>3</v>
      </c>
      <c r="AK143" s="46">
        <f>HLOOKUP(TBL_CalcDarwin[[#This Row],[Fecha]],'Plantilla AEG ES'!$E$1:$HX$13,10,FALSE)</f>
        <v>12</v>
      </c>
      <c r="AL143" s="46">
        <f>HLOOKUP(TBL_CalcDarwin[[#This Row],[Fecha]],'Plantilla AEG ES'!$E$1:$HX$13,11,FALSE)</f>
        <v>1</v>
      </c>
      <c r="AM143" s="46">
        <f>HLOOKUP(TBL_CalcDarwin[[#This Row],[Fecha]],'Plantilla AEG ES'!$E$1:$HX$13,12,FALSE)</f>
        <v>7</v>
      </c>
      <c r="AN143" s="46">
        <f>HLOOKUP(TBL_CalcDarwin[[#This Row],[Fecha]],'Plantilla AEG ES'!$E$1:$HX$13,13,FALSE)</f>
        <v>1</v>
      </c>
      <c r="AO143" s="37">
        <f>TBL_CalcDarwin[[#This Row],[Lomitas - Barra A - 5.2 - Cerro]]+TBL_CalcDarwin[[#This Row],[Lomitas - Barra A - 5.2 - Medio]]+TBL_CalcDarwin[[#This Row],[Lomitas - Barra A - 5.2 - Mar]]</f>
        <v>25</v>
      </c>
      <c r="AP1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115.91</v>
      </c>
      <c r="AR1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114.00999999999999</v>
      </c>
      <c r="AS143" s="37">
        <f>TBL_CalcDarwin[[#This Row],[Expansión - Barra A - 5.2 - Cerro]]+TBL_CalcDarwin[[#This Row],[Expansión - Barra A - 5.2 - Medio]]+TBL_CalcDarwin[[#This Row],[Expansión - Barra A - 5.2 - Mar]]</f>
        <v>2</v>
      </c>
      <c r="AT143" s="37">
        <f>TBL_CalcDarwin[[#This Row],[Expansión - Barra B - 5.2 - Cerro]]</f>
        <v>1</v>
      </c>
      <c r="AU1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43" s="29">
        <f>TBL_CalcDarwin[[#This Row],[Expansión - Barra B - 5.2 - Cerro]]*TBL_CalcDarwin[[#This Row],[AEG 5.2 MW Cerro]]</f>
        <v>3.3660000000000001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5">
        <f t="shared" si="13"/>
        <v>45589.91666666633</v>
      </c>
      <c r="C144" s="17">
        <f t="shared" ref="C144:C148" si="14">C143+TIME(1,0,0)</f>
        <v>5.9166666666666741</v>
      </c>
      <c r="D144" s="34">
        <f>TBL_CalcDarwin[[#This Row],[Darwin PLOM
MW]]+TBL_CalcDarwin[[#This Row],[Darwin PLOME
MW]]</f>
        <v>232.76899999999998</v>
      </c>
      <c r="E144" s="34">
        <f>TBL_CalcDarwin[[#This Row],[PLOM MW TOTAL BARRA A]]+TBL_CalcDarwin[[#This Row],[PLOM MW TOTAL BARRA B]]</f>
        <v>222.72899999999998</v>
      </c>
      <c r="F144" s="34">
        <f>TBL_CalcDarwin[[#This Row],[PLOME MW TOTAL BARRA A]]+TBL_CalcDarwin[[#This Row],[PLOME MW TOTAL BARRA B]]</f>
        <v>10.039999999999999</v>
      </c>
      <c r="G144" s="48">
        <f>'Plantilla Datos'!D149</f>
        <v>9.3000000000000007</v>
      </c>
      <c r="H144" s="48">
        <f>'Plantilla Datos'!E149</f>
        <v>11.6</v>
      </c>
      <c r="I144" s="49">
        <f>'Plantilla Datos'!F149</f>
        <v>16.3</v>
      </c>
      <c r="J144" s="47">
        <f>CEILING('Plantilla Datos'!$L$3*TBL_CalcDarwin[[#This Row],[Darwin Gusts
m/s]],0.5)</f>
        <v>8.5</v>
      </c>
      <c r="K144" s="47">
        <f>CEILING('Plantilla Datos'!$L$4*TBL_CalcDarwin[[#This Row],[Darwin Gusts
m/s]],0.5)</f>
        <v>10</v>
      </c>
      <c r="L144" s="47">
        <f>CEILING(TBL_CalcDarwin[[#This Row],[Darwin Gusts
m/s]],0.5)</f>
        <v>12</v>
      </c>
      <c r="M1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5.1479999999999997</v>
      </c>
      <c r="Q144" s="41">
        <f>INDEX(Curva_Temp[Temp],MATCH(TBL_CalcDarwin[[#This Row],[Darwin Temp.
°C]],Curva_Temp[Temp]))</f>
        <v>15</v>
      </c>
      <c r="R144" s="41">
        <f>INDEX(Curva_Temp[Warranted Power Curve for 
1.194Kg/m3 air density '[kW']
SG 5.0-145 (AM+1, 5.2MW) AT 
90M],MATCH(TBL_CalcDarwin[[#This Row],[Darwin Temp.
°C]],Curva_Temp[Temp]))</f>
        <v>5200</v>
      </c>
      <c r="S144" s="41" cm="1">
        <f t="array" ref="S144">INDEX(Curva_Temp[Temp],MATCH(TBL_CalcDarwin[[#This Row],[Darwin Temp.
°C]],Curva_Temp[Temp])+1)</f>
        <v>20</v>
      </c>
      <c r="T144" s="41" cm="1">
        <f t="array" ref="T144">INDEX(Curva_Temp[Warranted Power Curve for 
1.194Kg/m3 air density '[kW']
SG 5.0-145 (AM+1, 5.2MW) AT 
90M],MATCH(TBL_CalcDarwin[[#This Row],[Darwin Temp.
°C]],Curva_Temp[Temp])+1)</f>
        <v>5000</v>
      </c>
      <c r="U1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44" s="41">
        <f>INDEX(Curva_Temp[Temp],MATCH(TBL_CalcDarwin[[#This Row],[Darwin Temp.
°C]],Curva_Temp[Temp]))</f>
        <v>15</v>
      </c>
      <c r="Z144" s="41">
        <f>INDEX(Curva_Temp[Warranted Power Curve for 
1.194Kg/m3 air density '[kW']
SG 5.0-145 (AM 0, 5.0MW) AT 
90M],MATCH(TBL_CalcDarwin[[#This Row],[Darwin Temp.
°C]],Curva_Temp[Temp]))</f>
        <v>5000</v>
      </c>
      <c r="AA144" s="41" cm="1">
        <f t="array" ref="AA144">INDEX(Curva_Temp[Temp],MATCH(TBL_CalcDarwin[[#This Row],[Darwin Temp.
°C]],Curva_Temp[Temp])+1)</f>
        <v>20</v>
      </c>
      <c r="AB144" s="41" cm="1">
        <f t="array" ref="AB144">INDEX(Curva_Temp[Warranted Power Curve for 
1.194Kg/m3 air density '[kW']
SG 5.0-145 (AM 0, 5.0MW) AT 
90M],MATCH(TBL_CalcDarwin[[#This Row],[Darwin Temp.
°C]],Curva_Temp[Temp])+1)</f>
        <v>5000</v>
      </c>
      <c r="AC144" s="45">
        <f>HLOOKUP(TBL_CalcDarwin[[#This Row],[Fecha]],'Plantilla AEG ES'!$E$1:$HX$13,2,FALSE)</f>
        <v>5</v>
      </c>
      <c r="AD144" s="45">
        <f>HLOOKUP(TBL_CalcDarwin[[#This Row],[Fecha]],'Plantilla AEG ES'!$E$1:$HX$13,3,FALSE)</f>
        <v>8</v>
      </c>
      <c r="AE144" s="45">
        <f>HLOOKUP(TBL_CalcDarwin[[#This Row],[Fecha]],'Plantilla AEG ES'!$E$1:$HX$13,4,FALSE)</f>
        <v>12</v>
      </c>
      <c r="AF144" s="45">
        <f>HLOOKUP(TBL_CalcDarwin[[#This Row],[Fecha]],'Plantilla AEG ES'!$E$1:$HX$13,5,FALSE)</f>
        <v>1</v>
      </c>
      <c r="AG144" s="45">
        <f>HLOOKUP(TBL_CalcDarwin[[#This Row],[Fecha]],'Plantilla AEG ES'!$E$1:$HX$13,6,FALSE)</f>
        <v>1</v>
      </c>
      <c r="AH144" s="45">
        <f>HLOOKUP(TBL_CalcDarwin[[#This Row],[Fecha]],'Plantilla AEG ES'!$E$1:$HX$13,7,FALSE)</f>
        <v>0</v>
      </c>
      <c r="AI144" s="46">
        <f>HLOOKUP(TBL_CalcDarwin[[#This Row],[Fecha]],'Plantilla AEG ES'!$E$1:$HX$13,8,FALSE)</f>
        <v>0</v>
      </c>
      <c r="AJ144" s="46">
        <f>HLOOKUP(TBL_CalcDarwin[[#This Row],[Fecha]],'Plantilla AEG ES'!$E$1:$HX$13,9,FALSE)</f>
        <v>3</v>
      </c>
      <c r="AK144" s="46">
        <f>HLOOKUP(TBL_CalcDarwin[[#This Row],[Fecha]],'Plantilla AEG ES'!$E$1:$HX$13,10,FALSE)</f>
        <v>12</v>
      </c>
      <c r="AL144" s="46">
        <f>HLOOKUP(TBL_CalcDarwin[[#This Row],[Fecha]],'Plantilla AEG ES'!$E$1:$HX$13,11,FALSE)</f>
        <v>1</v>
      </c>
      <c r="AM144" s="46">
        <f>HLOOKUP(TBL_CalcDarwin[[#This Row],[Fecha]],'Plantilla AEG ES'!$E$1:$HX$13,12,FALSE)</f>
        <v>7</v>
      </c>
      <c r="AN144" s="46">
        <f>HLOOKUP(TBL_CalcDarwin[[#This Row],[Fecha]],'Plantilla AEG ES'!$E$1:$HX$13,13,FALSE)</f>
        <v>1</v>
      </c>
      <c r="AO144" s="37">
        <f>TBL_CalcDarwin[[#This Row],[Lomitas - Barra A - 5.2 - Cerro]]+TBL_CalcDarwin[[#This Row],[Lomitas - Barra A - 5.2 - Medio]]+TBL_CalcDarwin[[#This Row],[Lomitas - Barra A - 5.2 - Mar]]</f>
        <v>25</v>
      </c>
      <c r="AP1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110.43799999999999</v>
      </c>
      <c r="AR1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112.291</v>
      </c>
      <c r="AS144" s="37">
        <f>TBL_CalcDarwin[[#This Row],[Expansión - Barra A - 5.2 - Cerro]]+TBL_CalcDarwin[[#This Row],[Expansión - Barra A - 5.2 - Medio]]+TBL_CalcDarwin[[#This Row],[Expansión - Barra A - 5.2 - Mar]]</f>
        <v>2</v>
      </c>
      <c r="AT144" s="37">
        <f>TBL_CalcDarwin[[#This Row],[Expansión - Barra B - 5.2 - Cerro]]</f>
        <v>1</v>
      </c>
      <c r="AU1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44" s="29">
        <f>TBL_CalcDarwin[[#This Row],[Expansión - Barra B - 5.2 - Cerro]]*TBL_CalcDarwin[[#This Row],[AEG 5.2 MW Cerro]]</f>
        <v>2.8780000000000001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5">
        <f t="shared" si="13"/>
        <v>45589.958333332994</v>
      </c>
      <c r="C145" s="17">
        <f t="shared" si="14"/>
        <v>5.958333333333341</v>
      </c>
      <c r="D145" s="34">
        <f>TBL_CalcDarwin[[#This Row],[Darwin PLOM
MW]]+TBL_CalcDarwin[[#This Row],[Darwin PLOME
MW]]</f>
        <v>227.108</v>
      </c>
      <c r="E145" s="34">
        <f>TBL_CalcDarwin[[#This Row],[PLOM MW TOTAL BARRA A]]+TBL_CalcDarwin[[#This Row],[PLOM MW TOTAL BARRA B]]</f>
        <v>217.51</v>
      </c>
      <c r="F145" s="34">
        <f>TBL_CalcDarwin[[#This Row],[PLOME MW TOTAL BARRA A]]+TBL_CalcDarwin[[#This Row],[PLOME MW TOTAL BARRA B]]</f>
        <v>9.5980000000000008</v>
      </c>
      <c r="G145" s="48">
        <f>'Plantilla Datos'!D150</f>
        <v>8.9</v>
      </c>
      <c r="H145" s="48">
        <f>'Plantilla Datos'!E150</f>
        <v>11.1</v>
      </c>
      <c r="I145" s="49">
        <f>'Plantilla Datos'!F150</f>
        <v>16.3</v>
      </c>
      <c r="J145" s="47">
        <f>CEILING('Plantilla Datos'!$L$3*TBL_CalcDarwin[[#This Row],[Darwin Gusts
m/s]],0.5)</f>
        <v>8.5</v>
      </c>
      <c r="K145" s="47">
        <f>CEILING('Plantilla Datos'!$L$4*TBL_CalcDarwin[[#This Row],[Darwin Gusts
m/s]],0.5)</f>
        <v>9.5</v>
      </c>
      <c r="L145" s="47">
        <f>CEILING(TBL_CalcDarwin[[#This Row],[Darwin Gusts
m/s]],0.5)</f>
        <v>11.5</v>
      </c>
      <c r="M1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5.1479999999999997</v>
      </c>
      <c r="Q145" s="41">
        <f>INDEX(Curva_Temp[Temp],MATCH(TBL_CalcDarwin[[#This Row],[Darwin Temp.
°C]],Curva_Temp[Temp]))</f>
        <v>15</v>
      </c>
      <c r="R145" s="41">
        <f>INDEX(Curva_Temp[Warranted Power Curve for 
1.194Kg/m3 air density '[kW']
SG 5.0-145 (AM+1, 5.2MW) AT 
90M],MATCH(TBL_CalcDarwin[[#This Row],[Darwin Temp.
°C]],Curva_Temp[Temp]))</f>
        <v>5200</v>
      </c>
      <c r="S145" s="41" cm="1">
        <f t="array" ref="S145">INDEX(Curva_Temp[Temp],MATCH(TBL_CalcDarwin[[#This Row],[Darwin Temp.
°C]],Curva_Temp[Temp])+1)</f>
        <v>20</v>
      </c>
      <c r="T145" s="41" cm="1">
        <f t="array" ref="T145">INDEX(Curva_Temp[Warranted Power Curve for 
1.194Kg/m3 air density '[kW']
SG 5.0-145 (AM+1, 5.2MW) AT 
90M],MATCH(TBL_CalcDarwin[[#This Row],[Darwin Temp.
°C]],Curva_Temp[Temp])+1)</f>
        <v>5000</v>
      </c>
      <c r="U1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45" s="41">
        <f>INDEX(Curva_Temp[Temp],MATCH(TBL_CalcDarwin[[#This Row],[Darwin Temp.
°C]],Curva_Temp[Temp]))</f>
        <v>15</v>
      </c>
      <c r="Z145" s="41">
        <f>INDEX(Curva_Temp[Warranted Power Curve for 
1.194Kg/m3 air density '[kW']
SG 5.0-145 (AM 0, 5.0MW) AT 
90M],MATCH(TBL_CalcDarwin[[#This Row],[Darwin Temp.
°C]],Curva_Temp[Temp]))</f>
        <v>5000</v>
      </c>
      <c r="AA145" s="41" cm="1">
        <f t="array" ref="AA145">INDEX(Curva_Temp[Temp],MATCH(TBL_CalcDarwin[[#This Row],[Darwin Temp.
°C]],Curva_Temp[Temp])+1)</f>
        <v>20</v>
      </c>
      <c r="AB145" s="41" cm="1">
        <f t="array" ref="AB145">INDEX(Curva_Temp[Warranted Power Curve for 
1.194Kg/m3 air density '[kW']
SG 5.0-145 (AM 0, 5.0MW) AT 
90M],MATCH(TBL_CalcDarwin[[#This Row],[Darwin Temp.
°C]],Curva_Temp[Temp])+1)</f>
        <v>5000</v>
      </c>
      <c r="AC145" s="45">
        <f>HLOOKUP(TBL_CalcDarwin[[#This Row],[Fecha]],'Plantilla AEG ES'!$E$1:$HX$13,2,FALSE)</f>
        <v>5</v>
      </c>
      <c r="AD145" s="45">
        <f>HLOOKUP(TBL_CalcDarwin[[#This Row],[Fecha]],'Plantilla AEG ES'!$E$1:$HX$13,3,FALSE)</f>
        <v>8</v>
      </c>
      <c r="AE145" s="45">
        <f>HLOOKUP(TBL_CalcDarwin[[#This Row],[Fecha]],'Plantilla AEG ES'!$E$1:$HX$13,4,FALSE)</f>
        <v>12</v>
      </c>
      <c r="AF145" s="45">
        <f>HLOOKUP(TBL_CalcDarwin[[#This Row],[Fecha]],'Plantilla AEG ES'!$E$1:$HX$13,5,FALSE)</f>
        <v>1</v>
      </c>
      <c r="AG145" s="45">
        <f>HLOOKUP(TBL_CalcDarwin[[#This Row],[Fecha]],'Plantilla AEG ES'!$E$1:$HX$13,6,FALSE)</f>
        <v>1</v>
      </c>
      <c r="AH145" s="45">
        <f>HLOOKUP(TBL_CalcDarwin[[#This Row],[Fecha]],'Plantilla AEG ES'!$E$1:$HX$13,7,FALSE)</f>
        <v>0</v>
      </c>
      <c r="AI145" s="46">
        <f>HLOOKUP(TBL_CalcDarwin[[#This Row],[Fecha]],'Plantilla AEG ES'!$E$1:$HX$13,8,FALSE)</f>
        <v>0</v>
      </c>
      <c r="AJ145" s="46">
        <f>HLOOKUP(TBL_CalcDarwin[[#This Row],[Fecha]],'Plantilla AEG ES'!$E$1:$HX$13,9,FALSE)</f>
        <v>3</v>
      </c>
      <c r="AK145" s="46">
        <f>HLOOKUP(TBL_CalcDarwin[[#This Row],[Fecha]],'Plantilla AEG ES'!$E$1:$HX$13,10,FALSE)</f>
        <v>12</v>
      </c>
      <c r="AL145" s="46">
        <f>HLOOKUP(TBL_CalcDarwin[[#This Row],[Fecha]],'Plantilla AEG ES'!$E$1:$HX$13,11,FALSE)</f>
        <v>1</v>
      </c>
      <c r="AM145" s="46">
        <f>HLOOKUP(TBL_CalcDarwin[[#This Row],[Fecha]],'Plantilla AEG ES'!$E$1:$HX$13,12,FALSE)</f>
        <v>7</v>
      </c>
      <c r="AN145" s="46">
        <f>HLOOKUP(TBL_CalcDarwin[[#This Row],[Fecha]],'Plantilla AEG ES'!$E$1:$HX$13,13,FALSE)</f>
        <v>1</v>
      </c>
      <c r="AO145" s="37">
        <f>TBL_CalcDarwin[[#This Row],[Lomitas - Barra A - 5.2 - Cerro]]+TBL_CalcDarwin[[#This Row],[Lomitas - Barra A - 5.2 - Medio]]+TBL_CalcDarwin[[#This Row],[Lomitas - Barra A - 5.2 - Mar]]</f>
        <v>25</v>
      </c>
      <c r="AP1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106.902</v>
      </c>
      <c r="AR1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110.60799999999999</v>
      </c>
      <c r="AS145" s="37">
        <f>TBL_CalcDarwin[[#This Row],[Expansión - Barra A - 5.2 - Cerro]]+TBL_CalcDarwin[[#This Row],[Expansión - Barra A - 5.2 - Medio]]+TBL_CalcDarwin[[#This Row],[Expansión - Barra A - 5.2 - Mar]]</f>
        <v>2</v>
      </c>
      <c r="AT145" s="37">
        <f>TBL_CalcDarwin[[#This Row],[Expansión - Barra B - 5.2 - Cerro]]</f>
        <v>1</v>
      </c>
      <c r="AU1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145" s="29">
        <f>TBL_CalcDarwin[[#This Row],[Expansión - Barra B - 5.2 - Cerro]]*TBL_CalcDarwin[[#This Row],[AEG 5.2 MW Cerro]]</f>
        <v>2.8780000000000001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5">
        <f t="shared" si="13"/>
        <v>45589.999999999658</v>
      </c>
      <c r="C146" s="17">
        <f t="shared" si="14"/>
        <v>6.000000000000008</v>
      </c>
      <c r="D146" s="34">
        <f>TBL_CalcDarwin[[#This Row],[Darwin PLOM
MW]]+TBL_CalcDarwin[[#This Row],[Darwin PLOME
MW]]</f>
        <v>195.351</v>
      </c>
      <c r="E146" s="34">
        <f>TBL_CalcDarwin[[#This Row],[PLOM MW TOTAL BARRA A]]+TBL_CalcDarwin[[#This Row],[PLOM MW TOTAL BARRA B]]</f>
        <v>187.167</v>
      </c>
      <c r="F146" s="34">
        <f>TBL_CalcDarwin[[#This Row],[PLOME MW TOTAL BARRA A]]+TBL_CalcDarwin[[#This Row],[PLOME MW TOTAL BARRA B]]</f>
        <v>8.1840000000000011</v>
      </c>
      <c r="G146" s="48">
        <f>'Plantilla Datos'!D151</f>
        <v>8.4</v>
      </c>
      <c r="H146" s="48">
        <f>'Plantilla Datos'!E151</f>
        <v>10.5</v>
      </c>
      <c r="I146" s="49">
        <f>'Plantilla Datos'!F151</f>
        <v>16.3</v>
      </c>
      <c r="J146" s="47">
        <f>CEILING('Plantilla Datos'!$L$3*TBL_CalcDarwin[[#This Row],[Darwin Gusts
m/s]],0.5)</f>
        <v>8</v>
      </c>
      <c r="K146" s="47">
        <f>CEILING('Plantilla Datos'!$L$4*TBL_CalcDarwin[[#This Row],[Darwin Gusts
m/s]],0.5)</f>
        <v>9</v>
      </c>
      <c r="L146" s="47">
        <f>CEILING(TBL_CalcDarwin[[#This Row],[Darwin Gusts
m/s]],0.5)</f>
        <v>10.5</v>
      </c>
      <c r="M1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46" s="41">
        <f>INDEX(Curva_Temp[Temp],MATCH(TBL_CalcDarwin[[#This Row],[Darwin Temp.
°C]],Curva_Temp[Temp]))</f>
        <v>15</v>
      </c>
      <c r="R146" s="41">
        <f>INDEX(Curva_Temp[Warranted Power Curve for 
1.194Kg/m3 air density '[kW']
SG 5.0-145 (AM+1, 5.2MW) AT 
90M],MATCH(TBL_CalcDarwin[[#This Row],[Darwin Temp.
°C]],Curva_Temp[Temp]))</f>
        <v>5200</v>
      </c>
      <c r="S146" s="41" cm="1">
        <f t="array" ref="S146">INDEX(Curva_Temp[Temp],MATCH(TBL_CalcDarwin[[#This Row],[Darwin Temp.
°C]],Curva_Temp[Temp])+1)</f>
        <v>20</v>
      </c>
      <c r="T146" s="41" cm="1">
        <f t="array" ref="T146">INDEX(Curva_Temp[Warranted Power Curve for 
1.194Kg/m3 air density '[kW']
SG 5.0-145 (AM+1, 5.2MW) AT 
90M],MATCH(TBL_CalcDarwin[[#This Row],[Darwin Temp.
°C]],Curva_Temp[Temp])+1)</f>
        <v>5000</v>
      </c>
      <c r="U1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46" s="41">
        <f>INDEX(Curva_Temp[Temp],MATCH(TBL_CalcDarwin[[#This Row],[Darwin Temp.
°C]],Curva_Temp[Temp]))</f>
        <v>15</v>
      </c>
      <c r="Z146" s="41">
        <f>INDEX(Curva_Temp[Warranted Power Curve for 
1.194Kg/m3 air density '[kW']
SG 5.0-145 (AM 0, 5.0MW) AT 
90M],MATCH(TBL_CalcDarwin[[#This Row],[Darwin Temp.
°C]],Curva_Temp[Temp]))</f>
        <v>5000</v>
      </c>
      <c r="AA146" s="41" cm="1">
        <f t="array" ref="AA146">INDEX(Curva_Temp[Temp],MATCH(TBL_CalcDarwin[[#This Row],[Darwin Temp.
°C]],Curva_Temp[Temp])+1)</f>
        <v>20</v>
      </c>
      <c r="AB146" s="41" cm="1">
        <f t="array" ref="AB146">INDEX(Curva_Temp[Warranted Power Curve for 
1.194Kg/m3 air density '[kW']
SG 5.0-145 (AM 0, 5.0MW) AT 
90M],MATCH(TBL_CalcDarwin[[#This Row],[Darwin Temp.
°C]],Curva_Temp[Temp])+1)</f>
        <v>5000</v>
      </c>
      <c r="AC146" s="45">
        <f>HLOOKUP(TBL_CalcDarwin[[#This Row],[Fecha]],'Plantilla AEG ES'!$E$1:$HX$13,2,FALSE)</f>
        <v>5</v>
      </c>
      <c r="AD146" s="45">
        <f>HLOOKUP(TBL_CalcDarwin[[#This Row],[Fecha]],'Plantilla AEG ES'!$E$1:$HX$13,3,FALSE)</f>
        <v>7</v>
      </c>
      <c r="AE146" s="45">
        <f>HLOOKUP(TBL_CalcDarwin[[#This Row],[Fecha]],'Plantilla AEG ES'!$E$1:$HX$13,4,FALSE)</f>
        <v>11</v>
      </c>
      <c r="AF146" s="45">
        <f>HLOOKUP(TBL_CalcDarwin[[#This Row],[Fecha]],'Plantilla AEG ES'!$E$1:$HX$13,5,FALSE)</f>
        <v>1</v>
      </c>
      <c r="AG146" s="45">
        <f>HLOOKUP(TBL_CalcDarwin[[#This Row],[Fecha]],'Plantilla AEG ES'!$E$1:$HX$13,6,FALSE)</f>
        <v>1</v>
      </c>
      <c r="AH146" s="45">
        <f>HLOOKUP(TBL_CalcDarwin[[#This Row],[Fecha]],'Plantilla AEG ES'!$E$1:$HX$13,7,FALSE)</f>
        <v>0</v>
      </c>
      <c r="AI146" s="46">
        <f>HLOOKUP(TBL_CalcDarwin[[#This Row],[Fecha]],'Plantilla AEG ES'!$E$1:$HX$13,8,FALSE)</f>
        <v>0</v>
      </c>
      <c r="AJ146" s="46">
        <f>HLOOKUP(TBL_CalcDarwin[[#This Row],[Fecha]],'Plantilla AEG ES'!$E$1:$HX$13,9,FALSE)</f>
        <v>3</v>
      </c>
      <c r="AK146" s="46">
        <f>HLOOKUP(TBL_CalcDarwin[[#This Row],[Fecha]],'Plantilla AEG ES'!$E$1:$HX$13,10,FALSE)</f>
        <v>12</v>
      </c>
      <c r="AL146" s="46">
        <f>HLOOKUP(TBL_CalcDarwin[[#This Row],[Fecha]],'Plantilla AEG ES'!$E$1:$HX$13,11,FALSE)</f>
        <v>1</v>
      </c>
      <c r="AM146" s="46">
        <f>HLOOKUP(TBL_CalcDarwin[[#This Row],[Fecha]],'Plantilla AEG ES'!$E$1:$HX$13,12,FALSE)</f>
        <v>7</v>
      </c>
      <c r="AN146" s="46">
        <f>HLOOKUP(TBL_CalcDarwin[[#This Row],[Fecha]],'Plantilla AEG ES'!$E$1:$HX$13,13,FALSE)</f>
        <v>1</v>
      </c>
      <c r="AO146" s="37">
        <f>TBL_CalcDarwin[[#This Row],[Lomitas - Barra A - 5.2 - Cerro]]+TBL_CalcDarwin[[#This Row],[Lomitas - Barra A - 5.2 - Medio]]+TBL_CalcDarwin[[#This Row],[Lomitas - Barra A - 5.2 - Mar]]</f>
        <v>23</v>
      </c>
      <c r="AP1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86.9</v>
      </c>
      <c r="AR1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46" s="37">
        <f>TBL_CalcDarwin[[#This Row],[Expansión - Barra A - 5.2 - Cerro]]+TBL_CalcDarwin[[#This Row],[Expansión - Barra A - 5.2 - Medio]]+TBL_CalcDarwin[[#This Row],[Expansión - Barra A - 5.2 - Mar]]</f>
        <v>2</v>
      </c>
      <c r="AT146" s="37">
        <f>TBL_CalcDarwin[[#This Row],[Expansión - Barra B - 5.2 - Cerro]]</f>
        <v>1</v>
      </c>
      <c r="AU1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46" s="29">
        <f>TBL_CalcDarwin[[#This Row],[Expansión - Barra B - 5.2 - Cerro]]*TBL_CalcDarwin[[#This Row],[AEG 5.2 MW Cerro]]</f>
        <v>2.4089999999999998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5">
        <f t="shared" si="13"/>
        <v>45590.041666666322</v>
      </c>
      <c r="C147" s="17">
        <f t="shared" si="14"/>
        <v>6.041666666666675</v>
      </c>
      <c r="D147" s="34">
        <f>TBL_CalcDarwin[[#This Row],[Darwin PLOM
MW]]+TBL_CalcDarwin[[#This Row],[Darwin PLOME
MW]]</f>
        <v>180.86099999999999</v>
      </c>
      <c r="E147" s="34">
        <f>TBL_CalcDarwin[[#This Row],[PLOM MW TOTAL BARRA A]]+TBL_CalcDarwin[[#This Row],[PLOM MW TOTAL BARRA B]]</f>
        <v>173.53899999999999</v>
      </c>
      <c r="F147" s="34">
        <f>TBL_CalcDarwin[[#This Row],[PLOME MW TOTAL BARRA A]]+TBL_CalcDarwin[[#This Row],[PLOME MW TOTAL BARRA B]]</f>
        <v>7.3220000000000001</v>
      </c>
      <c r="G147" s="48">
        <f>'Plantilla Datos'!D152</f>
        <v>8</v>
      </c>
      <c r="H147" s="48">
        <f>'Plantilla Datos'!E152</f>
        <v>10</v>
      </c>
      <c r="I147" s="49">
        <f>'Plantilla Datos'!F152</f>
        <v>16.3</v>
      </c>
      <c r="J147" s="47">
        <f>CEILING('Plantilla Datos'!$L$3*TBL_CalcDarwin[[#This Row],[Darwin Gusts
m/s]],0.5)</f>
        <v>7.5</v>
      </c>
      <c r="K147" s="47">
        <f>CEILING('Plantilla Datos'!$L$4*TBL_CalcDarwin[[#This Row],[Darwin Gusts
m/s]],0.5)</f>
        <v>9</v>
      </c>
      <c r="L147" s="47">
        <f>CEILING(TBL_CalcDarwin[[#This Row],[Darwin Gusts
m/s]],0.5)</f>
        <v>10</v>
      </c>
      <c r="M1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47" s="41">
        <f>INDEX(Curva_Temp[Temp],MATCH(TBL_CalcDarwin[[#This Row],[Darwin Temp.
°C]],Curva_Temp[Temp]))</f>
        <v>15</v>
      </c>
      <c r="R147" s="41">
        <f>INDEX(Curva_Temp[Warranted Power Curve for 
1.194Kg/m3 air density '[kW']
SG 5.0-145 (AM+1, 5.2MW) AT 
90M],MATCH(TBL_CalcDarwin[[#This Row],[Darwin Temp.
°C]],Curva_Temp[Temp]))</f>
        <v>5200</v>
      </c>
      <c r="S147" s="41" cm="1">
        <f t="array" ref="S147">INDEX(Curva_Temp[Temp],MATCH(TBL_CalcDarwin[[#This Row],[Darwin Temp.
°C]],Curva_Temp[Temp])+1)</f>
        <v>20</v>
      </c>
      <c r="T147" s="41" cm="1">
        <f t="array" ref="T147">INDEX(Curva_Temp[Warranted Power Curve for 
1.194Kg/m3 air density '[kW']
SG 5.0-145 (AM+1, 5.2MW) AT 
90M],MATCH(TBL_CalcDarwin[[#This Row],[Darwin Temp.
°C]],Curva_Temp[Temp])+1)</f>
        <v>5000</v>
      </c>
      <c r="U1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47" s="41">
        <f>INDEX(Curva_Temp[Temp],MATCH(TBL_CalcDarwin[[#This Row],[Darwin Temp.
°C]],Curva_Temp[Temp]))</f>
        <v>15</v>
      </c>
      <c r="Z147" s="41">
        <f>INDEX(Curva_Temp[Warranted Power Curve for 
1.194Kg/m3 air density '[kW']
SG 5.0-145 (AM 0, 5.0MW) AT 
90M],MATCH(TBL_CalcDarwin[[#This Row],[Darwin Temp.
°C]],Curva_Temp[Temp]))</f>
        <v>5000</v>
      </c>
      <c r="AA147" s="41" cm="1">
        <f t="array" ref="AA147">INDEX(Curva_Temp[Temp],MATCH(TBL_CalcDarwin[[#This Row],[Darwin Temp.
°C]],Curva_Temp[Temp])+1)</f>
        <v>20</v>
      </c>
      <c r="AB147" s="41" cm="1">
        <f t="array" ref="AB147">INDEX(Curva_Temp[Warranted Power Curve for 
1.194Kg/m3 air density '[kW']
SG 5.0-145 (AM 0, 5.0MW) AT 
90M],MATCH(TBL_CalcDarwin[[#This Row],[Darwin Temp.
°C]],Curva_Temp[Temp])+1)</f>
        <v>5000</v>
      </c>
      <c r="AC147" s="45">
        <f>HLOOKUP(TBL_CalcDarwin[[#This Row],[Fecha]],'Plantilla AEG ES'!$E$1:$HX$13,2,FALSE)</f>
        <v>5</v>
      </c>
      <c r="AD147" s="45">
        <f>HLOOKUP(TBL_CalcDarwin[[#This Row],[Fecha]],'Plantilla AEG ES'!$E$1:$HX$13,3,FALSE)</f>
        <v>7</v>
      </c>
      <c r="AE147" s="45">
        <f>HLOOKUP(TBL_CalcDarwin[[#This Row],[Fecha]],'Plantilla AEG ES'!$E$1:$HX$13,4,FALSE)</f>
        <v>11</v>
      </c>
      <c r="AF147" s="45">
        <f>HLOOKUP(TBL_CalcDarwin[[#This Row],[Fecha]],'Plantilla AEG ES'!$E$1:$HX$13,5,FALSE)</f>
        <v>1</v>
      </c>
      <c r="AG147" s="45">
        <f>HLOOKUP(TBL_CalcDarwin[[#This Row],[Fecha]],'Plantilla AEG ES'!$E$1:$HX$13,6,FALSE)</f>
        <v>1</v>
      </c>
      <c r="AH147" s="45">
        <f>HLOOKUP(TBL_CalcDarwin[[#This Row],[Fecha]],'Plantilla AEG ES'!$E$1:$HX$13,7,FALSE)</f>
        <v>0</v>
      </c>
      <c r="AI147" s="46">
        <f>HLOOKUP(TBL_CalcDarwin[[#This Row],[Fecha]],'Plantilla AEG ES'!$E$1:$HX$13,8,FALSE)</f>
        <v>0</v>
      </c>
      <c r="AJ147" s="46">
        <f>HLOOKUP(TBL_CalcDarwin[[#This Row],[Fecha]],'Plantilla AEG ES'!$E$1:$HX$13,9,FALSE)</f>
        <v>3</v>
      </c>
      <c r="AK147" s="46">
        <f>HLOOKUP(TBL_CalcDarwin[[#This Row],[Fecha]],'Plantilla AEG ES'!$E$1:$HX$13,10,FALSE)</f>
        <v>12</v>
      </c>
      <c r="AL147" s="46">
        <f>HLOOKUP(TBL_CalcDarwin[[#This Row],[Fecha]],'Plantilla AEG ES'!$E$1:$HX$13,11,FALSE)</f>
        <v>1</v>
      </c>
      <c r="AM147" s="46">
        <f>HLOOKUP(TBL_CalcDarwin[[#This Row],[Fecha]],'Plantilla AEG ES'!$E$1:$HX$13,12,FALSE)</f>
        <v>7</v>
      </c>
      <c r="AN147" s="46">
        <f>HLOOKUP(TBL_CalcDarwin[[#This Row],[Fecha]],'Plantilla AEG ES'!$E$1:$HX$13,13,FALSE)</f>
        <v>1</v>
      </c>
      <c r="AO147" s="37">
        <f>TBL_CalcDarwin[[#This Row],[Lomitas - Barra A - 5.2 - Cerro]]+TBL_CalcDarwin[[#This Row],[Lomitas - Barra A - 5.2 - Medio]]+TBL_CalcDarwin[[#This Row],[Lomitas - Barra A - 5.2 - Mar]]</f>
        <v>23</v>
      </c>
      <c r="AP1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80.575999999999993</v>
      </c>
      <c r="AR1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147" s="37">
        <f>TBL_CalcDarwin[[#This Row],[Expansión - Barra A - 5.2 - Cerro]]+TBL_CalcDarwin[[#This Row],[Expansión - Barra A - 5.2 - Medio]]+TBL_CalcDarwin[[#This Row],[Expansión - Barra A - 5.2 - Mar]]</f>
        <v>2</v>
      </c>
      <c r="AT147" s="37">
        <f>TBL_CalcDarwin[[#This Row],[Expansión - Barra B - 5.2 - Cerro]]</f>
        <v>1</v>
      </c>
      <c r="AU1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47" s="29">
        <f>TBL_CalcDarwin[[#This Row],[Expansión - Barra B - 5.2 - Cerro]]*TBL_CalcDarwin[[#This Row],[AEG 5.2 MW Cerro]]</f>
        <v>1.978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5">
        <f t="shared" si="13"/>
        <v>45590.083333332987</v>
      </c>
      <c r="C148" s="17">
        <f t="shared" si="14"/>
        <v>6.0833333333333419</v>
      </c>
      <c r="D148" s="34">
        <f>TBL_CalcDarwin[[#This Row],[Darwin PLOM
MW]]+TBL_CalcDarwin[[#This Row],[Darwin PLOME
MW]]</f>
        <v>175.49299999999999</v>
      </c>
      <c r="E148" s="34">
        <f>TBL_CalcDarwin[[#This Row],[PLOM MW TOTAL BARRA A]]+TBL_CalcDarwin[[#This Row],[PLOM MW TOTAL BARRA B]]</f>
        <v>168.65899999999999</v>
      </c>
      <c r="F148" s="34">
        <f>TBL_CalcDarwin[[#This Row],[PLOME MW TOTAL BARRA A]]+TBL_CalcDarwin[[#This Row],[PLOME MW TOTAL BARRA B]]</f>
        <v>6.8339999999999996</v>
      </c>
      <c r="G148" s="48">
        <f>'Plantilla Datos'!D153</f>
        <v>7.8</v>
      </c>
      <c r="H148" s="48">
        <f>'Plantilla Datos'!E153</f>
        <v>9.8000000000000007</v>
      </c>
      <c r="I148" s="49">
        <f>'Plantilla Datos'!F153</f>
        <v>16.100000000000001</v>
      </c>
      <c r="J148" s="47">
        <f>CEILING('Plantilla Datos'!$L$3*TBL_CalcDarwin[[#This Row],[Darwin Gusts
m/s]],0.5)</f>
        <v>7.5</v>
      </c>
      <c r="K148" s="47">
        <f>CEILING('Plantilla Datos'!$L$4*TBL_CalcDarwin[[#This Row],[Darwin Gusts
m/s]],0.5)</f>
        <v>8.5</v>
      </c>
      <c r="L148" s="47">
        <f>CEILING(TBL_CalcDarwin[[#This Row],[Darwin Gusts
m/s]],0.5)</f>
        <v>10</v>
      </c>
      <c r="M1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48" s="41">
        <f>INDEX(Curva_Temp[Temp],MATCH(TBL_CalcDarwin[[#This Row],[Darwin Temp.
°C]],Curva_Temp[Temp]))</f>
        <v>15</v>
      </c>
      <c r="R148" s="41">
        <f>INDEX(Curva_Temp[Warranted Power Curve for 
1.194Kg/m3 air density '[kW']
SG 5.0-145 (AM+1, 5.2MW) AT 
90M],MATCH(TBL_CalcDarwin[[#This Row],[Darwin Temp.
°C]],Curva_Temp[Temp]))</f>
        <v>5200</v>
      </c>
      <c r="S148" s="41" cm="1">
        <f t="array" ref="S148">INDEX(Curva_Temp[Temp],MATCH(TBL_CalcDarwin[[#This Row],[Darwin Temp.
°C]],Curva_Temp[Temp])+1)</f>
        <v>20</v>
      </c>
      <c r="T148" s="41" cm="1">
        <f t="array" ref="T148">INDEX(Curva_Temp[Warranted Power Curve for 
1.194Kg/m3 air density '[kW']
SG 5.0-145 (AM+1, 5.2MW) AT 
90M],MATCH(TBL_CalcDarwin[[#This Row],[Darwin Temp.
°C]],Curva_Temp[Temp])+1)</f>
        <v>5000</v>
      </c>
      <c r="U1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48" s="41">
        <f>INDEX(Curva_Temp[Temp],MATCH(TBL_CalcDarwin[[#This Row],[Darwin Temp.
°C]],Curva_Temp[Temp]))</f>
        <v>15</v>
      </c>
      <c r="Z148" s="41">
        <f>INDEX(Curva_Temp[Warranted Power Curve for 
1.194Kg/m3 air density '[kW']
SG 5.0-145 (AM 0, 5.0MW) AT 
90M],MATCH(TBL_CalcDarwin[[#This Row],[Darwin Temp.
°C]],Curva_Temp[Temp]))</f>
        <v>5000</v>
      </c>
      <c r="AA148" s="41" cm="1">
        <f t="array" ref="AA148">INDEX(Curva_Temp[Temp],MATCH(TBL_CalcDarwin[[#This Row],[Darwin Temp.
°C]],Curva_Temp[Temp])+1)</f>
        <v>20</v>
      </c>
      <c r="AB148" s="41" cm="1">
        <f t="array" ref="AB148">INDEX(Curva_Temp[Warranted Power Curve for 
1.194Kg/m3 air density '[kW']
SG 5.0-145 (AM 0, 5.0MW) AT 
90M],MATCH(TBL_CalcDarwin[[#This Row],[Darwin Temp.
°C]],Curva_Temp[Temp])+1)</f>
        <v>5000</v>
      </c>
      <c r="AC148" s="45">
        <f>HLOOKUP(TBL_CalcDarwin[[#This Row],[Fecha]],'Plantilla AEG ES'!$E$1:$HX$13,2,FALSE)</f>
        <v>5</v>
      </c>
      <c r="AD148" s="45">
        <f>HLOOKUP(TBL_CalcDarwin[[#This Row],[Fecha]],'Plantilla AEG ES'!$E$1:$HX$13,3,FALSE)</f>
        <v>7</v>
      </c>
      <c r="AE148" s="45">
        <f>HLOOKUP(TBL_CalcDarwin[[#This Row],[Fecha]],'Plantilla AEG ES'!$E$1:$HX$13,4,FALSE)</f>
        <v>11</v>
      </c>
      <c r="AF148" s="45">
        <f>HLOOKUP(TBL_CalcDarwin[[#This Row],[Fecha]],'Plantilla AEG ES'!$E$1:$HX$13,5,FALSE)</f>
        <v>1</v>
      </c>
      <c r="AG148" s="45">
        <f>HLOOKUP(TBL_CalcDarwin[[#This Row],[Fecha]],'Plantilla AEG ES'!$E$1:$HX$13,6,FALSE)</f>
        <v>1</v>
      </c>
      <c r="AH148" s="45">
        <f>HLOOKUP(TBL_CalcDarwin[[#This Row],[Fecha]],'Plantilla AEG ES'!$E$1:$HX$13,7,FALSE)</f>
        <v>0</v>
      </c>
      <c r="AI148" s="46">
        <f>HLOOKUP(TBL_CalcDarwin[[#This Row],[Fecha]],'Plantilla AEG ES'!$E$1:$HX$13,8,FALSE)</f>
        <v>0</v>
      </c>
      <c r="AJ148" s="46">
        <f>HLOOKUP(TBL_CalcDarwin[[#This Row],[Fecha]],'Plantilla AEG ES'!$E$1:$HX$13,9,FALSE)</f>
        <v>3</v>
      </c>
      <c r="AK148" s="46">
        <f>HLOOKUP(TBL_CalcDarwin[[#This Row],[Fecha]],'Plantilla AEG ES'!$E$1:$HX$13,10,FALSE)</f>
        <v>12</v>
      </c>
      <c r="AL148" s="46">
        <f>HLOOKUP(TBL_CalcDarwin[[#This Row],[Fecha]],'Plantilla AEG ES'!$E$1:$HX$13,11,FALSE)</f>
        <v>1</v>
      </c>
      <c r="AM148" s="46">
        <f>HLOOKUP(TBL_CalcDarwin[[#This Row],[Fecha]],'Plantilla AEG ES'!$E$1:$HX$13,12,FALSE)</f>
        <v>7</v>
      </c>
      <c r="AN148" s="46">
        <f>HLOOKUP(TBL_CalcDarwin[[#This Row],[Fecha]],'Plantilla AEG ES'!$E$1:$HX$13,13,FALSE)</f>
        <v>1</v>
      </c>
      <c r="AO148" s="37">
        <f>TBL_CalcDarwin[[#This Row],[Lomitas - Barra A - 5.2 - Cerro]]+TBL_CalcDarwin[[#This Row],[Lomitas - Barra A - 5.2 - Medio]]+TBL_CalcDarwin[[#This Row],[Lomitas - Barra A - 5.2 - Mar]]</f>
        <v>23</v>
      </c>
      <c r="AP1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77.16</v>
      </c>
      <c r="AR1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48" s="37">
        <f>TBL_CalcDarwin[[#This Row],[Expansión - Barra A - 5.2 - Cerro]]+TBL_CalcDarwin[[#This Row],[Expansión - Barra A - 5.2 - Medio]]+TBL_CalcDarwin[[#This Row],[Expansión - Barra A - 5.2 - Mar]]</f>
        <v>2</v>
      </c>
      <c r="AT148" s="37">
        <f>TBL_CalcDarwin[[#This Row],[Expansión - Barra B - 5.2 - Cerro]]</f>
        <v>1</v>
      </c>
      <c r="AU1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48" s="29">
        <f>TBL_CalcDarwin[[#This Row],[Expansión - Barra B - 5.2 - Cerro]]*TBL_CalcDarwin[[#This Row],[AEG 5.2 MW Cerro]]</f>
        <v>1.978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5">
        <f t="shared" si="13"/>
        <v>45590.124999999651</v>
      </c>
      <c r="C149" s="17">
        <f>C148+TIME(1,0,0)</f>
        <v>6.1250000000000089</v>
      </c>
      <c r="D149" s="34">
        <f>TBL_CalcDarwin[[#This Row],[Darwin PLOM
MW]]+TBL_CalcDarwin[[#This Row],[Darwin PLOME
MW]]</f>
        <v>172.44799999999998</v>
      </c>
      <c r="E149" s="34">
        <f>TBL_CalcDarwin[[#This Row],[PLOM MW TOTAL BARRA A]]+TBL_CalcDarwin[[#This Row],[PLOM MW TOTAL BARRA B]]</f>
        <v>166.37599999999998</v>
      </c>
      <c r="F149" s="34">
        <f>TBL_CalcDarwin[[#This Row],[PLOME MW TOTAL BARRA A]]+TBL_CalcDarwin[[#This Row],[PLOME MW TOTAL BARRA B]]</f>
        <v>6.0719999999999992</v>
      </c>
      <c r="G149" s="48">
        <f>'Plantilla Datos'!D154</f>
        <v>7.7</v>
      </c>
      <c r="H149" s="48">
        <f>'Plantilla Datos'!E154</f>
        <v>9.6</v>
      </c>
      <c r="I149" s="49">
        <f>'Plantilla Datos'!F154</f>
        <v>16</v>
      </c>
      <c r="J149" s="47">
        <f>CEILING('Plantilla Datos'!$L$3*TBL_CalcDarwin[[#This Row],[Darwin Gusts
m/s]],0.5)</f>
        <v>7</v>
      </c>
      <c r="K149" s="47">
        <f>CEILING('Plantilla Datos'!$L$4*TBL_CalcDarwin[[#This Row],[Darwin Gusts
m/s]],0.5)</f>
        <v>8.5</v>
      </c>
      <c r="L149" s="47">
        <f>CEILING(TBL_CalcDarwin[[#This Row],[Darwin Gusts
m/s]],0.5)</f>
        <v>10</v>
      </c>
      <c r="M1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49" s="41">
        <f>INDEX(Curva_Temp[Temp],MATCH(TBL_CalcDarwin[[#This Row],[Darwin Temp.
°C]],Curva_Temp[Temp]))</f>
        <v>15</v>
      </c>
      <c r="R149" s="41">
        <f>INDEX(Curva_Temp[Warranted Power Curve for 
1.194Kg/m3 air density '[kW']
SG 5.0-145 (AM+1, 5.2MW) AT 
90M],MATCH(TBL_CalcDarwin[[#This Row],[Darwin Temp.
°C]],Curva_Temp[Temp]))</f>
        <v>5200</v>
      </c>
      <c r="S149" s="41" cm="1">
        <f t="array" ref="S149">INDEX(Curva_Temp[Temp],MATCH(TBL_CalcDarwin[[#This Row],[Darwin Temp.
°C]],Curva_Temp[Temp])+1)</f>
        <v>20</v>
      </c>
      <c r="T149" s="41" cm="1">
        <f t="array" ref="T149">INDEX(Curva_Temp[Warranted Power Curve for 
1.194Kg/m3 air density '[kW']
SG 5.0-145 (AM+1, 5.2MW) AT 
90M],MATCH(TBL_CalcDarwin[[#This Row],[Darwin Temp.
°C]],Curva_Temp[Temp])+1)</f>
        <v>5000</v>
      </c>
      <c r="U1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49" s="41">
        <f>INDEX(Curva_Temp[Temp],MATCH(TBL_CalcDarwin[[#This Row],[Darwin Temp.
°C]],Curva_Temp[Temp]))</f>
        <v>15</v>
      </c>
      <c r="Z149" s="41">
        <f>INDEX(Curva_Temp[Warranted Power Curve for 
1.194Kg/m3 air density '[kW']
SG 5.0-145 (AM 0, 5.0MW) AT 
90M],MATCH(TBL_CalcDarwin[[#This Row],[Darwin Temp.
°C]],Curva_Temp[Temp]))</f>
        <v>5000</v>
      </c>
      <c r="AA149" s="41" cm="1">
        <f t="array" ref="AA149">INDEX(Curva_Temp[Temp],MATCH(TBL_CalcDarwin[[#This Row],[Darwin Temp.
°C]],Curva_Temp[Temp])+1)</f>
        <v>20</v>
      </c>
      <c r="AB149" s="41" cm="1">
        <f t="array" ref="AB149">INDEX(Curva_Temp[Warranted Power Curve for 
1.194Kg/m3 air density '[kW']
SG 5.0-145 (AM 0, 5.0MW) AT 
90M],MATCH(TBL_CalcDarwin[[#This Row],[Darwin Temp.
°C]],Curva_Temp[Temp])+1)</f>
        <v>5000</v>
      </c>
      <c r="AC149" s="45">
        <f>HLOOKUP(TBL_CalcDarwin[[#This Row],[Fecha]],'Plantilla AEG ES'!$E$1:$HX$13,2,FALSE)</f>
        <v>5</v>
      </c>
      <c r="AD149" s="45">
        <f>HLOOKUP(TBL_CalcDarwin[[#This Row],[Fecha]],'Plantilla AEG ES'!$E$1:$HX$13,3,FALSE)</f>
        <v>7</v>
      </c>
      <c r="AE149" s="45">
        <f>HLOOKUP(TBL_CalcDarwin[[#This Row],[Fecha]],'Plantilla AEG ES'!$E$1:$HX$13,4,FALSE)</f>
        <v>11</v>
      </c>
      <c r="AF149" s="45">
        <f>HLOOKUP(TBL_CalcDarwin[[#This Row],[Fecha]],'Plantilla AEG ES'!$E$1:$HX$13,5,FALSE)</f>
        <v>1</v>
      </c>
      <c r="AG149" s="45">
        <f>HLOOKUP(TBL_CalcDarwin[[#This Row],[Fecha]],'Plantilla AEG ES'!$E$1:$HX$13,6,FALSE)</f>
        <v>1</v>
      </c>
      <c r="AH149" s="45">
        <f>HLOOKUP(TBL_CalcDarwin[[#This Row],[Fecha]],'Plantilla AEG ES'!$E$1:$HX$13,7,FALSE)</f>
        <v>0</v>
      </c>
      <c r="AI149" s="46">
        <f>HLOOKUP(TBL_CalcDarwin[[#This Row],[Fecha]],'Plantilla AEG ES'!$E$1:$HX$13,8,FALSE)</f>
        <v>0</v>
      </c>
      <c r="AJ149" s="46">
        <f>HLOOKUP(TBL_CalcDarwin[[#This Row],[Fecha]],'Plantilla AEG ES'!$E$1:$HX$13,9,FALSE)</f>
        <v>3</v>
      </c>
      <c r="AK149" s="46">
        <f>HLOOKUP(TBL_CalcDarwin[[#This Row],[Fecha]],'Plantilla AEG ES'!$E$1:$HX$13,10,FALSE)</f>
        <v>12</v>
      </c>
      <c r="AL149" s="46">
        <f>HLOOKUP(TBL_CalcDarwin[[#This Row],[Fecha]],'Plantilla AEG ES'!$E$1:$HX$13,11,FALSE)</f>
        <v>1</v>
      </c>
      <c r="AM149" s="46">
        <f>HLOOKUP(TBL_CalcDarwin[[#This Row],[Fecha]],'Plantilla AEG ES'!$E$1:$HX$13,12,FALSE)</f>
        <v>7</v>
      </c>
      <c r="AN149" s="46">
        <f>HLOOKUP(TBL_CalcDarwin[[#This Row],[Fecha]],'Plantilla AEG ES'!$E$1:$HX$13,13,FALSE)</f>
        <v>1</v>
      </c>
      <c r="AO149" s="37">
        <f>TBL_CalcDarwin[[#This Row],[Lomitas - Barra A - 5.2 - Cerro]]+TBL_CalcDarwin[[#This Row],[Lomitas - Barra A - 5.2 - Medio]]+TBL_CalcDarwin[[#This Row],[Lomitas - Barra A - 5.2 - Mar]]</f>
        <v>23</v>
      </c>
      <c r="AP1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75.254999999999995</v>
      </c>
      <c r="AR1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49" s="37">
        <f>TBL_CalcDarwin[[#This Row],[Expansión - Barra A - 5.2 - Cerro]]+TBL_CalcDarwin[[#This Row],[Expansión - Barra A - 5.2 - Medio]]+TBL_CalcDarwin[[#This Row],[Expansión - Barra A - 5.2 - Mar]]</f>
        <v>2</v>
      </c>
      <c r="AT149" s="37">
        <f>TBL_CalcDarwin[[#This Row],[Expansión - Barra B - 5.2 - Cerro]]</f>
        <v>1</v>
      </c>
      <c r="AU1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49" s="29">
        <f>TBL_CalcDarwin[[#This Row],[Expansión - Barra B - 5.2 - Cerro]]*TBL_CalcDarwin[[#This Row],[AEG 5.2 MW Cerro]]</f>
        <v>1.597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5">
        <f t="shared" si="13"/>
        <v>45590.166666666315</v>
      </c>
      <c r="C150" s="17">
        <f t="shared" ref="C150:C166" si="15">C149+TIME(1,0,0)</f>
        <v>6.1666666666666758</v>
      </c>
      <c r="D150" s="34">
        <f>TBL_CalcDarwin[[#This Row],[Darwin PLOM
MW]]+TBL_CalcDarwin[[#This Row],[Darwin PLOME
MW]]</f>
        <v>159.38400000000001</v>
      </c>
      <c r="E150" s="34">
        <f>TBL_CalcDarwin[[#This Row],[PLOM MW TOTAL BARRA A]]+TBL_CalcDarwin[[#This Row],[PLOM MW TOTAL BARRA B]]</f>
        <v>153.31200000000001</v>
      </c>
      <c r="F150" s="34">
        <f>TBL_CalcDarwin[[#This Row],[PLOME MW TOTAL BARRA A]]+TBL_CalcDarwin[[#This Row],[PLOME MW TOTAL BARRA B]]</f>
        <v>6.0719999999999992</v>
      </c>
      <c r="G150" s="48">
        <f>'Plantilla Datos'!D155</f>
        <v>7.5</v>
      </c>
      <c r="H150" s="48">
        <f>'Plantilla Datos'!E155</f>
        <v>9.4</v>
      </c>
      <c r="I150" s="49">
        <f>'Plantilla Datos'!F155</f>
        <v>15.9</v>
      </c>
      <c r="J150" s="47">
        <f>CEILING('Plantilla Datos'!$L$3*TBL_CalcDarwin[[#This Row],[Darwin Gusts
m/s]],0.5)</f>
        <v>7</v>
      </c>
      <c r="K150" s="47">
        <f>CEILING('Plantilla Datos'!$L$4*TBL_CalcDarwin[[#This Row],[Darwin Gusts
m/s]],0.5)</f>
        <v>8.5</v>
      </c>
      <c r="L150" s="47">
        <f>CEILING(TBL_CalcDarwin[[#This Row],[Darwin Gusts
m/s]],0.5)</f>
        <v>9.5</v>
      </c>
      <c r="M1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50" s="41">
        <f>INDEX(Curva_Temp[Temp],MATCH(TBL_CalcDarwin[[#This Row],[Darwin Temp.
°C]],Curva_Temp[Temp]))</f>
        <v>15</v>
      </c>
      <c r="R150" s="41">
        <f>INDEX(Curva_Temp[Warranted Power Curve for 
1.194Kg/m3 air density '[kW']
SG 5.0-145 (AM+1, 5.2MW) AT 
90M],MATCH(TBL_CalcDarwin[[#This Row],[Darwin Temp.
°C]],Curva_Temp[Temp]))</f>
        <v>5200</v>
      </c>
      <c r="S150" s="41" cm="1">
        <f t="array" ref="S150">INDEX(Curva_Temp[Temp],MATCH(TBL_CalcDarwin[[#This Row],[Darwin Temp.
°C]],Curva_Temp[Temp])+1)</f>
        <v>20</v>
      </c>
      <c r="T150" s="41" cm="1">
        <f t="array" ref="T150">INDEX(Curva_Temp[Warranted Power Curve for 
1.194Kg/m3 air density '[kW']
SG 5.0-145 (AM+1, 5.2MW) AT 
90M],MATCH(TBL_CalcDarwin[[#This Row],[Darwin Temp.
°C]],Curva_Temp[Temp])+1)</f>
        <v>5000</v>
      </c>
      <c r="U1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50" s="41">
        <f>INDEX(Curva_Temp[Temp],MATCH(TBL_CalcDarwin[[#This Row],[Darwin Temp.
°C]],Curva_Temp[Temp]))</f>
        <v>15</v>
      </c>
      <c r="Z150" s="41">
        <f>INDEX(Curva_Temp[Warranted Power Curve for 
1.194Kg/m3 air density '[kW']
SG 5.0-145 (AM 0, 5.0MW) AT 
90M],MATCH(TBL_CalcDarwin[[#This Row],[Darwin Temp.
°C]],Curva_Temp[Temp]))</f>
        <v>5000</v>
      </c>
      <c r="AA150" s="41" cm="1">
        <f t="array" ref="AA150">INDEX(Curva_Temp[Temp],MATCH(TBL_CalcDarwin[[#This Row],[Darwin Temp.
°C]],Curva_Temp[Temp])+1)</f>
        <v>20</v>
      </c>
      <c r="AB150" s="41" cm="1">
        <f t="array" ref="AB150">INDEX(Curva_Temp[Warranted Power Curve for 
1.194Kg/m3 air density '[kW']
SG 5.0-145 (AM 0, 5.0MW) AT 
90M],MATCH(TBL_CalcDarwin[[#This Row],[Darwin Temp.
°C]],Curva_Temp[Temp])+1)</f>
        <v>5000</v>
      </c>
      <c r="AC150" s="45">
        <f>HLOOKUP(TBL_CalcDarwin[[#This Row],[Fecha]],'Plantilla AEG ES'!$E$1:$HX$13,2,FALSE)</f>
        <v>5</v>
      </c>
      <c r="AD150" s="45">
        <f>HLOOKUP(TBL_CalcDarwin[[#This Row],[Fecha]],'Plantilla AEG ES'!$E$1:$HX$13,3,FALSE)</f>
        <v>7</v>
      </c>
      <c r="AE150" s="45">
        <f>HLOOKUP(TBL_CalcDarwin[[#This Row],[Fecha]],'Plantilla AEG ES'!$E$1:$HX$13,4,FALSE)</f>
        <v>11</v>
      </c>
      <c r="AF150" s="45">
        <f>HLOOKUP(TBL_CalcDarwin[[#This Row],[Fecha]],'Plantilla AEG ES'!$E$1:$HX$13,5,FALSE)</f>
        <v>1</v>
      </c>
      <c r="AG150" s="45">
        <f>HLOOKUP(TBL_CalcDarwin[[#This Row],[Fecha]],'Plantilla AEG ES'!$E$1:$HX$13,6,FALSE)</f>
        <v>1</v>
      </c>
      <c r="AH150" s="45">
        <f>HLOOKUP(TBL_CalcDarwin[[#This Row],[Fecha]],'Plantilla AEG ES'!$E$1:$HX$13,7,FALSE)</f>
        <v>0</v>
      </c>
      <c r="AI150" s="46">
        <f>HLOOKUP(TBL_CalcDarwin[[#This Row],[Fecha]],'Plantilla AEG ES'!$E$1:$HX$13,8,FALSE)</f>
        <v>0</v>
      </c>
      <c r="AJ150" s="46">
        <f>HLOOKUP(TBL_CalcDarwin[[#This Row],[Fecha]],'Plantilla AEG ES'!$E$1:$HX$13,9,FALSE)</f>
        <v>3</v>
      </c>
      <c r="AK150" s="46">
        <f>HLOOKUP(TBL_CalcDarwin[[#This Row],[Fecha]],'Plantilla AEG ES'!$E$1:$HX$13,10,FALSE)</f>
        <v>12</v>
      </c>
      <c r="AL150" s="46">
        <f>HLOOKUP(TBL_CalcDarwin[[#This Row],[Fecha]],'Plantilla AEG ES'!$E$1:$HX$13,11,FALSE)</f>
        <v>1</v>
      </c>
      <c r="AM150" s="46">
        <f>HLOOKUP(TBL_CalcDarwin[[#This Row],[Fecha]],'Plantilla AEG ES'!$E$1:$HX$13,12,FALSE)</f>
        <v>7</v>
      </c>
      <c r="AN150" s="46">
        <f>HLOOKUP(TBL_CalcDarwin[[#This Row],[Fecha]],'Plantilla AEG ES'!$E$1:$HX$13,13,FALSE)</f>
        <v>1</v>
      </c>
      <c r="AO150" s="37">
        <f>TBL_CalcDarwin[[#This Row],[Lomitas - Barra A - 5.2 - Cerro]]+TBL_CalcDarwin[[#This Row],[Lomitas - Barra A - 5.2 - Medio]]+TBL_CalcDarwin[[#This Row],[Lomitas - Barra A - 5.2 - Mar]]</f>
        <v>23</v>
      </c>
      <c r="AP1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70.393000000000001</v>
      </c>
      <c r="AR1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50" s="37">
        <f>TBL_CalcDarwin[[#This Row],[Expansión - Barra A - 5.2 - Cerro]]+TBL_CalcDarwin[[#This Row],[Expansión - Barra A - 5.2 - Medio]]+TBL_CalcDarwin[[#This Row],[Expansión - Barra A - 5.2 - Mar]]</f>
        <v>2</v>
      </c>
      <c r="AT150" s="37">
        <f>TBL_CalcDarwin[[#This Row],[Expansión - Barra B - 5.2 - Cerro]]</f>
        <v>1</v>
      </c>
      <c r="AU1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50" s="29">
        <f>TBL_CalcDarwin[[#This Row],[Expansión - Barra B - 5.2 - Cerro]]*TBL_CalcDarwin[[#This Row],[AEG 5.2 MW Cerro]]</f>
        <v>1.597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5">
        <f t="shared" si="13"/>
        <v>45590.208333332979</v>
      </c>
      <c r="C151" s="17">
        <f t="shared" si="15"/>
        <v>6.2083333333333428</v>
      </c>
      <c r="D151" s="34">
        <f>TBL_CalcDarwin[[#This Row],[Darwin PLOM
MW]]+TBL_CalcDarwin[[#This Row],[Darwin PLOME
MW]]</f>
        <v>154.22500000000002</v>
      </c>
      <c r="E151" s="34">
        <f>TBL_CalcDarwin[[#This Row],[PLOM MW TOTAL BARRA A]]+TBL_CalcDarwin[[#This Row],[PLOM MW TOTAL BARRA B]]</f>
        <v>148.62200000000001</v>
      </c>
      <c r="F151" s="34">
        <f>TBL_CalcDarwin[[#This Row],[PLOME MW TOTAL BARRA A]]+TBL_CalcDarwin[[#This Row],[PLOME MW TOTAL BARRA B]]</f>
        <v>5.6029999999999998</v>
      </c>
      <c r="G151" s="48">
        <f>'Plantilla Datos'!D156</f>
        <v>7.3</v>
      </c>
      <c r="H151" s="48">
        <f>'Plantilla Datos'!E156</f>
        <v>9.1999999999999993</v>
      </c>
      <c r="I151" s="49">
        <f>'Plantilla Datos'!F156</f>
        <v>15.9</v>
      </c>
      <c r="J151" s="47">
        <f>CEILING('Plantilla Datos'!$L$3*TBL_CalcDarwin[[#This Row],[Darwin Gusts
m/s]],0.5)</f>
        <v>7</v>
      </c>
      <c r="K151" s="47">
        <f>CEILING('Plantilla Datos'!$L$4*TBL_CalcDarwin[[#This Row],[Darwin Gusts
m/s]],0.5)</f>
        <v>8</v>
      </c>
      <c r="L151" s="47">
        <f>CEILING(TBL_CalcDarwin[[#This Row],[Darwin Gusts
m/s]],0.5)</f>
        <v>9.5</v>
      </c>
      <c r="M1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51" s="41">
        <f>INDEX(Curva_Temp[Temp],MATCH(TBL_CalcDarwin[[#This Row],[Darwin Temp.
°C]],Curva_Temp[Temp]))</f>
        <v>15</v>
      </c>
      <c r="R151" s="41">
        <f>INDEX(Curva_Temp[Warranted Power Curve for 
1.194Kg/m3 air density '[kW']
SG 5.0-145 (AM+1, 5.2MW) AT 
90M],MATCH(TBL_CalcDarwin[[#This Row],[Darwin Temp.
°C]],Curva_Temp[Temp]))</f>
        <v>5200</v>
      </c>
      <c r="S151" s="41" cm="1">
        <f t="array" ref="S151">INDEX(Curva_Temp[Temp],MATCH(TBL_CalcDarwin[[#This Row],[Darwin Temp.
°C]],Curva_Temp[Temp])+1)</f>
        <v>20</v>
      </c>
      <c r="T151" s="41" cm="1">
        <f t="array" ref="T151">INDEX(Curva_Temp[Warranted Power Curve for 
1.194Kg/m3 air density '[kW']
SG 5.0-145 (AM+1, 5.2MW) AT 
90M],MATCH(TBL_CalcDarwin[[#This Row],[Darwin Temp.
°C]],Curva_Temp[Temp])+1)</f>
        <v>5000</v>
      </c>
      <c r="U1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51" s="41">
        <f>INDEX(Curva_Temp[Temp],MATCH(TBL_CalcDarwin[[#This Row],[Darwin Temp.
°C]],Curva_Temp[Temp]))</f>
        <v>15</v>
      </c>
      <c r="Z151" s="41">
        <f>INDEX(Curva_Temp[Warranted Power Curve for 
1.194Kg/m3 air density '[kW']
SG 5.0-145 (AM 0, 5.0MW) AT 
90M],MATCH(TBL_CalcDarwin[[#This Row],[Darwin Temp.
°C]],Curva_Temp[Temp]))</f>
        <v>5000</v>
      </c>
      <c r="AA151" s="41" cm="1">
        <f t="array" ref="AA151">INDEX(Curva_Temp[Temp],MATCH(TBL_CalcDarwin[[#This Row],[Darwin Temp.
°C]],Curva_Temp[Temp])+1)</f>
        <v>20</v>
      </c>
      <c r="AB151" s="41" cm="1">
        <f t="array" ref="AB151">INDEX(Curva_Temp[Warranted Power Curve for 
1.194Kg/m3 air density '[kW']
SG 5.0-145 (AM 0, 5.0MW) AT 
90M],MATCH(TBL_CalcDarwin[[#This Row],[Darwin Temp.
°C]],Curva_Temp[Temp])+1)</f>
        <v>5000</v>
      </c>
      <c r="AC151" s="45">
        <f>HLOOKUP(TBL_CalcDarwin[[#This Row],[Fecha]],'Plantilla AEG ES'!$E$1:$HX$13,2,FALSE)</f>
        <v>5</v>
      </c>
      <c r="AD151" s="45">
        <f>HLOOKUP(TBL_CalcDarwin[[#This Row],[Fecha]],'Plantilla AEG ES'!$E$1:$HX$13,3,FALSE)</f>
        <v>7</v>
      </c>
      <c r="AE151" s="45">
        <f>HLOOKUP(TBL_CalcDarwin[[#This Row],[Fecha]],'Plantilla AEG ES'!$E$1:$HX$13,4,FALSE)</f>
        <v>11</v>
      </c>
      <c r="AF151" s="45">
        <f>HLOOKUP(TBL_CalcDarwin[[#This Row],[Fecha]],'Plantilla AEG ES'!$E$1:$HX$13,5,FALSE)</f>
        <v>1</v>
      </c>
      <c r="AG151" s="45">
        <f>HLOOKUP(TBL_CalcDarwin[[#This Row],[Fecha]],'Plantilla AEG ES'!$E$1:$HX$13,6,FALSE)</f>
        <v>1</v>
      </c>
      <c r="AH151" s="45">
        <f>HLOOKUP(TBL_CalcDarwin[[#This Row],[Fecha]],'Plantilla AEG ES'!$E$1:$HX$13,7,FALSE)</f>
        <v>0</v>
      </c>
      <c r="AI151" s="46">
        <f>HLOOKUP(TBL_CalcDarwin[[#This Row],[Fecha]],'Plantilla AEG ES'!$E$1:$HX$13,8,FALSE)</f>
        <v>0</v>
      </c>
      <c r="AJ151" s="46">
        <f>HLOOKUP(TBL_CalcDarwin[[#This Row],[Fecha]],'Plantilla AEG ES'!$E$1:$HX$13,9,FALSE)</f>
        <v>3</v>
      </c>
      <c r="AK151" s="46">
        <f>HLOOKUP(TBL_CalcDarwin[[#This Row],[Fecha]],'Plantilla AEG ES'!$E$1:$HX$13,10,FALSE)</f>
        <v>12</v>
      </c>
      <c r="AL151" s="46">
        <f>HLOOKUP(TBL_CalcDarwin[[#This Row],[Fecha]],'Plantilla AEG ES'!$E$1:$HX$13,11,FALSE)</f>
        <v>1</v>
      </c>
      <c r="AM151" s="46">
        <f>HLOOKUP(TBL_CalcDarwin[[#This Row],[Fecha]],'Plantilla AEG ES'!$E$1:$HX$13,12,FALSE)</f>
        <v>7</v>
      </c>
      <c r="AN151" s="46">
        <f>HLOOKUP(TBL_CalcDarwin[[#This Row],[Fecha]],'Plantilla AEG ES'!$E$1:$HX$13,13,FALSE)</f>
        <v>1</v>
      </c>
      <c r="AO151" s="37">
        <f>TBL_CalcDarwin[[#This Row],[Lomitas - Barra A - 5.2 - Cerro]]+TBL_CalcDarwin[[#This Row],[Lomitas - Barra A - 5.2 - Medio]]+TBL_CalcDarwin[[#This Row],[Lomitas - Barra A - 5.2 - Mar]]</f>
        <v>23</v>
      </c>
      <c r="AP1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1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51" s="37">
        <f>TBL_CalcDarwin[[#This Row],[Expansión - Barra A - 5.2 - Cerro]]+TBL_CalcDarwin[[#This Row],[Expansión - Barra A - 5.2 - Medio]]+TBL_CalcDarwin[[#This Row],[Expansión - Barra A - 5.2 - Mar]]</f>
        <v>2</v>
      </c>
      <c r="AT151" s="37">
        <f>TBL_CalcDarwin[[#This Row],[Expansión - Barra B - 5.2 - Cerro]]</f>
        <v>1</v>
      </c>
      <c r="AU1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51" s="29">
        <f>TBL_CalcDarwin[[#This Row],[Expansión - Barra B - 5.2 - Cerro]]*TBL_CalcDarwin[[#This Row],[AEG 5.2 MW Cerro]]</f>
        <v>1.597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5">
        <f t="shared" si="13"/>
        <v>45590.249999999643</v>
      </c>
      <c r="C152" s="17">
        <f t="shared" si="15"/>
        <v>6.2500000000000098</v>
      </c>
      <c r="D152" s="34">
        <f>TBL_CalcDarwin[[#This Row],[Darwin PLOM
MW]]+TBL_CalcDarwin[[#This Row],[Darwin PLOME
MW]]</f>
        <v>137.39600000000002</v>
      </c>
      <c r="E152" s="34">
        <f>TBL_CalcDarwin[[#This Row],[PLOM MW TOTAL BARRA A]]+TBL_CalcDarwin[[#This Row],[PLOM MW TOTAL BARRA B]]</f>
        <v>132.45500000000001</v>
      </c>
      <c r="F152" s="34">
        <f>TBL_CalcDarwin[[#This Row],[PLOME MW TOTAL BARRA A]]+TBL_CalcDarwin[[#This Row],[PLOME MW TOTAL BARRA B]]</f>
        <v>4.9409999999999998</v>
      </c>
      <c r="G152" s="48">
        <f>'Plantilla Datos'!D157</f>
        <v>7.1</v>
      </c>
      <c r="H152" s="48">
        <f>'Plantilla Datos'!E157</f>
        <v>9</v>
      </c>
      <c r="I152" s="49">
        <f>'Plantilla Datos'!F157</f>
        <v>16</v>
      </c>
      <c r="J152" s="47">
        <f>CEILING('Plantilla Datos'!$L$3*TBL_CalcDarwin[[#This Row],[Darwin Gusts
m/s]],0.5)</f>
        <v>6.5</v>
      </c>
      <c r="K152" s="47">
        <f>CEILING('Plantilla Datos'!$L$4*TBL_CalcDarwin[[#This Row],[Darwin Gusts
m/s]],0.5)</f>
        <v>8</v>
      </c>
      <c r="L152" s="47">
        <f>CEILING(TBL_CalcDarwin[[#This Row],[Darwin Gusts
m/s]],0.5)</f>
        <v>9</v>
      </c>
      <c r="M1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52" s="41">
        <f>INDEX(Curva_Temp[Temp],MATCH(TBL_CalcDarwin[[#This Row],[Darwin Temp.
°C]],Curva_Temp[Temp]))</f>
        <v>15</v>
      </c>
      <c r="R152" s="41">
        <f>INDEX(Curva_Temp[Warranted Power Curve for 
1.194Kg/m3 air density '[kW']
SG 5.0-145 (AM+1, 5.2MW) AT 
90M],MATCH(TBL_CalcDarwin[[#This Row],[Darwin Temp.
°C]],Curva_Temp[Temp]))</f>
        <v>5200</v>
      </c>
      <c r="S152" s="41" cm="1">
        <f t="array" ref="S152">INDEX(Curva_Temp[Temp],MATCH(TBL_CalcDarwin[[#This Row],[Darwin Temp.
°C]],Curva_Temp[Temp])+1)</f>
        <v>20</v>
      </c>
      <c r="T152" s="41" cm="1">
        <f t="array" ref="T152">INDEX(Curva_Temp[Warranted Power Curve for 
1.194Kg/m3 air density '[kW']
SG 5.0-145 (AM+1, 5.2MW) AT 
90M],MATCH(TBL_CalcDarwin[[#This Row],[Darwin Temp.
°C]],Curva_Temp[Temp])+1)</f>
        <v>5000</v>
      </c>
      <c r="U1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52" s="41">
        <f>INDEX(Curva_Temp[Temp],MATCH(TBL_CalcDarwin[[#This Row],[Darwin Temp.
°C]],Curva_Temp[Temp]))</f>
        <v>15</v>
      </c>
      <c r="Z152" s="41">
        <f>INDEX(Curva_Temp[Warranted Power Curve for 
1.194Kg/m3 air density '[kW']
SG 5.0-145 (AM 0, 5.0MW) AT 
90M],MATCH(TBL_CalcDarwin[[#This Row],[Darwin Temp.
°C]],Curva_Temp[Temp]))</f>
        <v>5000</v>
      </c>
      <c r="AA152" s="41" cm="1">
        <f t="array" ref="AA152">INDEX(Curva_Temp[Temp],MATCH(TBL_CalcDarwin[[#This Row],[Darwin Temp.
°C]],Curva_Temp[Temp])+1)</f>
        <v>20</v>
      </c>
      <c r="AB152" s="41" cm="1">
        <f t="array" ref="AB152">INDEX(Curva_Temp[Warranted Power Curve for 
1.194Kg/m3 air density '[kW']
SG 5.0-145 (AM 0, 5.0MW) AT 
90M],MATCH(TBL_CalcDarwin[[#This Row],[Darwin Temp.
°C]],Curva_Temp[Temp])+1)</f>
        <v>5000</v>
      </c>
      <c r="AC152" s="45">
        <f>HLOOKUP(TBL_CalcDarwin[[#This Row],[Fecha]],'Plantilla AEG ES'!$E$1:$HX$13,2,FALSE)</f>
        <v>5</v>
      </c>
      <c r="AD152" s="45">
        <f>HLOOKUP(TBL_CalcDarwin[[#This Row],[Fecha]],'Plantilla AEG ES'!$E$1:$HX$13,3,FALSE)</f>
        <v>7</v>
      </c>
      <c r="AE152" s="45">
        <f>HLOOKUP(TBL_CalcDarwin[[#This Row],[Fecha]],'Plantilla AEG ES'!$E$1:$HX$13,4,FALSE)</f>
        <v>11</v>
      </c>
      <c r="AF152" s="45">
        <f>HLOOKUP(TBL_CalcDarwin[[#This Row],[Fecha]],'Plantilla AEG ES'!$E$1:$HX$13,5,FALSE)</f>
        <v>1</v>
      </c>
      <c r="AG152" s="45">
        <f>HLOOKUP(TBL_CalcDarwin[[#This Row],[Fecha]],'Plantilla AEG ES'!$E$1:$HX$13,6,FALSE)</f>
        <v>1</v>
      </c>
      <c r="AH152" s="45">
        <f>HLOOKUP(TBL_CalcDarwin[[#This Row],[Fecha]],'Plantilla AEG ES'!$E$1:$HX$13,7,FALSE)</f>
        <v>0</v>
      </c>
      <c r="AI152" s="46">
        <f>HLOOKUP(TBL_CalcDarwin[[#This Row],[Fecha]],'Plantilla AEG ES'!$E$1:$HX$13,8,FALSE)</f>
        <v>0</v>
      </c>
      <c r="AJ152" s="46">
        <f>HLOOKUP(TBL_CalcDarwin[[#This Row],[Fecha]],'Plantilla AEG ES'!$E$1:$HX$13,9,FALSE)</f>
        <v>3</v>
      </c>
      <c r="AK152" s="46">
        <f>HLOOKUP(TBL_CalcDarwin[[#This Row],[Fecha]],'Plantilla AEG ES'!$E$1:$HX$13,10,FALSE)</f>
        <v>12</v>
      </c>
      <c r="AL152" s="46">
        <f>HLOOKUP(TBL_CalcDarwin[[#This Row],[Fecha]],'Plantilla AEG ES'!$E$1:$HX$13,11,FALSE)</f>
        <v>1</v>
      </c>
      <c r="AM152" s="46">
        <f>HLOOKUP(TBL_CalcDarwin[[#This Row],[Fecha]],'Plantilla AEG ES'!$E$1:$HX$13,12,FALSE)</f>
        <v>7</v>
      </c>
      <c r="AN152" s="46">
        <f>HLOOKUP(TBL_CalcDarwin[[#This Row],[Fecha]],'Plantilla AEG ES'!$E$1:$HX$13,13,FALSE)</f>
        <v>1</v>
      </c>
      <c r="AO152" s="37">
        <f>TBL_CalcDarwin[[#This Row],[Lomitas - Barra A - 5.2 - Cerro]]+TBL_CalcDarwin[[#This Row],[Lomitas - Barra A - 5.2 - Medio]]+TBL_CalcDarwin[[#This Row],[Lomitas - Barra A - 5.2 - Mar]]</f>
        <v>23</v>
      </c>
      <c r="AP1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1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52" s="37">
        <f>TBL_CalcDarwin[[#This Row],[Expansión - Barra A - 5.2 - Cerro]]+TBL_CalcDarwin[[#This Row],[Expansión - Barra A - 5.2 - Medio]]+TBL_CalcDarwin[[#This Row],[Expansión - Barra A - 5.2 - Mar]]</f>
        <v>2</v>
      </c>
      <c r="AT152" s="37">
        <f>TBL_CalcDarwin[[#This Row],[Expansión - Barra B - 5.2 - Cerro]]</f>
        <v>1</v>
      </c>
      <c r="AU1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52" s="29">
        <f>TBL_CalcDarwin[[#This Row],[Expansión - Barra B - 5.2 - Cerro]]*TBL_CalcDarwin[[#This Row],[AEG 5.2 MW Cerro]]</f>
        <v>1.266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5">
        <f t="shared" si="13"/>
        <v>45590.291666666308</v>
      </c>
      <c r="C153" s="17">
        <f t="shared" si="15"/>
        <v>6.2916666666666767</v>
      </c>
      <c r="D153" s="34">
        <f>TBL_CalcDarwin[[#This Row],[Darwin PLOM
MW]]+TBL_CalcDarwin[[#This Row],[Darwin PLOME
MW]]</f>
        <v>132.655</v>
      </c>
      <c r="E153" s="34">
        <f>TBL_CalcDarwin[[#This Row],[PLOM MW TOTAL BARRA A]]+TBL_CalcDarwin[[#This Row],[PLOM MW TOTAL BARRA B]]</f>
        <v>128.14500000000001</v>
      </c>
      <c r="F153" s="34">
        <f>TBL_CalcDarwin[[#This Row],[PLOME MW TOTAL BARRA A]]+TBL_CalcDarwin[[#This Row],[PLOME MW TOTAL BARRA B]]</f>
        <v>4.51</v>
      </c>
      <c r="G153" s="48">
        <f>'Plantilla Datos'!D158</f>
        <v>6.9</v>
      </c>
      <c r="H153" s="48">
        <f>'Plantilla Datos'!E158</f>
        <v>8.8000000000000007</v>
      </c>
      <c r="I153" s="49">
        <f>'Plantilla Datos'!F158</f>
        <v>15.9</v>
      </c>
      <c r="J153" s="47">
        <f>CEILING('Plantilla Datos'!$L$3*TBL_CalcDarwin[[#This Row],[Darwin Gusts
m/s]],0.5)</f>
        <v>6.5</v>
      </c>
      <c r="K153" s="47">
        <f>CEILING('Plantilla Datos'!$L$4*TBL_CalcDarwin[[#This Row],[Darwin Gusts
m/s]],0.5)</f>
        <v>7.5</v>
      </c>
      <c r="L153" s="47">
        <f>CEILING(TBL_CalcDarwin[[#This Row],[Darwin Gusts
m/s]],0.5)</f>
        <v>9</v>
      </c>
      <c r="M1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53" s="41">
        <f>INDEX(Curva_Temp[Temp],MATCH(TBL_CalcDarwin[[#This Row],[Darwin Temp.
°C]],Curva_Temp[Temp]))</f>
        <v>15</v>
      </c>
      <c r="R153" s="41">
        <f>INDEX(Curva_Temp[Warranted Power Curve for 
1.194Kg/m3 air density '[kW']
SG 5.0-145 (AM+1, 5.2MW) AT 
90M],MATCH(TBL_CalcDarwin[[#This Row],[Darwin Temp.
°C]],Curva_Temp[Temp]))</f>
        <v>5200</v>
      </c>
      <c r="S153" s="41" cm="1">
        <f t="array" ref="S153">INDEX(Curva_Temp[Temp],MATCH(TBL_CalcDarwin[[#This Row],[Darwin Temp.
°C]],Curva_Temp[Temp])+1)</f>
        <v>20</v>
      </c>
      <c r="T153" s="41" cm="1">
        <f t="array" ref="T153">INDEX(Curva_Temp[Warranted Power Curve for 
1.194Kg/m3 air density '[kW']
SG 5.0-145 (AM+1, 5.2MW) AT 
90M],MATCH(TBL_CalcDarwin[[#This Row],[Darwin Temp.
°C]],Curva_Temp[Temp])+1)</f>
        <v>5000</v>
      </c>
      <c r="U1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53" s="41">
        <f>INDEX(Curva_Temp[Temp],MATCH(TBL_CalcDarwin[[#This Row],[Darwin Temp.
°C]],Curva_Temp[Temp]))</f>
        <v>15</v>
      </c>
      <c r="Z153" s="41">
        <f>INDEX(Curva_Temp[Warranted Power Curve for 
1.194Kg/m3 air density '[kW']
SG 5.0-145 (AM 0, 5.0MW) AT 
90M],MATCH(TBL_CalcDarwin[[#This Row],[Darwin Temp.
°C]],Curva_Temp[Temp]))</f>
        <v>5000</v>
      </c>
      <c r="AA153" s="41" cm="1">
        <f t="array" ref="AA153">INDEX(Curva_Temp[Temp],MATCH(TBL_CalcDarwin[[#This Row],[Darwin Temp.
°C]],Curva_Temp[Temp])+1)</f>
        <v>20</v>
      </c>
      <c r="AB153" s="41" cm="1">
        <f t="array" ref="AB153">INDEX(Curva_Temp[Warranted Power Curve for 
1.194Kg/m3 air density '[kW']
SG 5.0-145 (AM 0, 5.0MW) AT 
90M],MATCH(TBL_CalcDarwin[[#This Row],[Darwin Temp.
°C]],Curva_Temp[Temp])+1)</f>
        <v>5000</v>
      </c>
      <c r="AC153" s="45">
        <f>HLOOKUP(TBL_CalcDarwin[[#This Row],[Fecha]],'Plantilla AEG ES'!$E$1:$HX$13,2,FALSE)</f>
        <v>5</v>
      </c>
      <c r="AD153" s="45">
        <f>HLOOKUP(TBL_CalcDarwin[[#This Row],[Fecha]],'Plantilla AEG ES'!$E$1:$HX$13,3,FALSE)</f>
        <v>7</v>
      </c>
      <c r="AE153" s="45">
        <f>HLOOKUP(TBL_CalcDarwin[[#This Row],[Fecha]],'Plantilla AEG ES'!$E$1:$HX$13,4,FALSE)</f>
        <v>11</v>
      </c>
      <c r="AF153" s="45">
        <f>HLOOKUP(TBL_CalcDarwin[[#This Row],[Fecha]],'Plantilla AEG ES'!$E$1:$HX$13,5,FALSE)</f>
        <v>1</v>
      </c>
      <c r="AG153" s="45">
        <f>HLOOKUP(TBL_CalcDarwin[[#This Row],[Fecha]],'Plantilla AEG ES'!$E$1:$HX$13,6,FALSE)</f>
        <v>1</v>
      </c>
      <c r="AH153" s="45">
        <f>HLOOKUP(TBL_CalcDarwin[[#This Row],[Fecha]],'Plantilla AEG ES'!$E$1:$HX$13,7,FALSE)</f>
        <v>0</v>
      </c>
      <c r="AI153" s="46">
        <f>HLOOKUP(TBL_CalcDarwin[[#This Row],[Fecha]],'Plantilla AEG ES'!$E$1:$HX$13,8,FALSE)</f>
        <v>0</v>
      </c>
      <c r="AJ153" s="46">
        <f>HLOOKUP(TBL_CalcDarwin[[#This Row],[Fecha]],'Plantilla AEG ES'!$E$1:$HX$13,9,FALSE)</f>
        <v>3</v>
      </c>
      <c r="AK153" s="46">
        <f>HLOOKUP(TBL_CalcDarwin[[#This Row],[Fecha]],'Plantilla AEG ES'!$E$1:$HX$13,10,FALSE)</f>
        <v>12</v>
      </c>
      <c r="AL153" s="46">
        <f>HLOOKUP(TBL_CalcDarwin[[#This Row],[Fecha]],'Plantilla AEG ES'!$E$1:$HX$13,11,FALSE)</f>
        <v>1</v>
      </c>
      <c r="AM153" s="46">
        <f>HLOOKUP(TBL_CalcDarwin[[#This Row],[Fecha]],'Plantilla AEG ES'!$E$1:$HX$13,12,FALSE)</f>
        <v>7</v>
      </c>
      <c r="AN153" s="46">
        <f>HLOOKUP(TBL_CalcDarwin[[#This Row],[Fecha]],'Plantilla AEG ES'!$E$1:$HX$13,13,FALSE)</f>
        <v>1</v>
      </c>
      <c r="AO153" s="37">
        <f>TBL_CalcDarwin[[#This Row],[Lomitas - Barra A - 5.2 - Cerro]]+TBL_CalcDarwin[[#This Row],[Lomitas - Barra A - 5.2 - Medio]]+TBL_CalcDarwin[[#This Row],[Lomitas - Barra A - 5.2 - Mar]]</f>
        <v>23</v>
      </c>
      <c r="AP1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53" s="37">
        <f>TBL_CalcDarwin[[#This Row],[Expansión - Barra A - 5.2 - Cerro]]+TBL_CalcDarwin[[#This Row],[Expansión - Barra A - 5.2 - Medio]]+TBL_CalcDarwin[[#This Row],[Expansión - Barra A - 5.2 - Mar]]</f>
        <v>2</v>
      </c>
      <c r="AT153" s="37">
        <f>TBL_CalcDarwin[[#This Row],[Expansión - Barra B - 5.2 - Cerro]]</f>
        <v>1</v>
      </c>
      <c r="AU1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53" s="29">
        <f>TBL_CalcDarwin[[#This Row],[Expansión - Barra B - 5.2 - Cerro]]*TBL_CalcDarwin[[#This Row],[AEG 5.2 MW Cerro]]</f>
        <v>1.266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5">
        <f t="shared" si="13"/>
        <v>45590.333333332972</v>
      </c>
      <c r="C154" s="17">
        <f t="shared" si="15"/>
        <v>6.3333333333333437</v>
      </c>
      <c r="D154" s="34">
        <f>TBL_CalcDarwin[[#This Row],[Darwin PLOM
MW]]+TBL_CalcDarwin[[#This Row],[Darwin PLOME
MW]]</f>
        <v>154.22500000000002</v>
      </c>
      <c r="E154" s="34">
        <f>TBL_CalcDarwin[[#This Row],[PLOM MW TOTAL BARRA A]]+TBL_CalcDarwin[[#This Row],[PLOM MW TOTAL BARRA B]]</f>
        <v>148.62200000000001</v>
      </c>
      <c r="F154" s="34">
        <f>TBL_CalcDarwin[[#This Row],[PLOME MW TOTAL BARRA A]]+TBL_CalcDarwin[[#This Row],[PLOME MW TOTAL BARRA B]]</f>
        <v>5.6029999999999998</v>
      </c>
      <c r="G154" s="48">
        <f>'Plantilla Datos'!D159</f>
        <v>7.2</v>
      </c>
      <c r="H154" s="48">
        <f>'Plantilla Datos'!E159</f>
        <v>9.1</v>
      </c>
      <c r="I154" s="49">
        <f>'Plantilla Datos'!F159</f>
        <v>16.3</v>
      </c>
      <c r="J154" s="47">
        <f>CEILING('Plantilla Datos'!$L$3*TBL_CalcDarwin[[#This Row],[Darwin Gusts
m/s]],0.5)</f>
        <v>7</v>
      </c>
      <c r="K154" s="47">
        <f>CEILING('Plantilla Datos'!$L$4*TBL_CalcDarwin[[#This Row],[Darwin Gusts
m/s]],0.5)</f>
        <v>8</v>
      </c>
      <c r="L154" s="47">
        <f>CEILING(TBL_CalcDarwin[[#This Row],[Darwin Gusts
m/s]],0.5)</f>
        <v>9.5</v>
      </c>
      <c r="M1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54" s="41">
        <f>INDEX(Curva_Temp[Temp],MATCH(TBL_CalcDarwin[[#This Row],[Darwin Temp.
°C]],Curva_Temp[Temp]))</f>
        <v>15</v>
      </c>
      <c r="R154" s="41">
        <f>INDEX(Curva_Temp[Warranted Power Curve for 
1.194Kg/m3 air density '[kW']
SG 5.0-145 (AM+1, 5.2MW) AT 
90M],MATCH(TBL_CalcDarwin[[#This Row],[Darwin Temp.
°C]],Curva_Temp[Temp]))</f>
        <v>5200</v>
      </c>
      <c r="S154" s="41" cm="1">
        <f t="array" ref="S154">INDEX(Curva_Temp[Temp],MATCH(TBL_CalcDarwin[[#This Row],[Darwin Temp.
°C]],Curva_Temp[Temp])+1)</f>
        <v>20</v>
      </c>
      <c r="T154" s="41" cm="1">
        <f t="array" ref="T154">INDEX(Curva_Temp[Warranted Power Curve for 
1.194Kg/m3 air density '[kW']
SG 5.0-145 (AM+1, 5.2MW) AT 
90M],MATCH(TBL_CalcDarwin[[#This Row],[Darwin Temp.
°C]],Curva_Temp[Temp])+1)</f>
        <v>5000</v>
      </c>
      <c r="U1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54" s="41">
        <f>INDEX(Curva_Temp[Temp],MATCH(TBL_CalcDarwin[[#This Row],[Darwin Temp.
°C]],Curva_Temp[Temp]))</f>
        <v>15</v>
      </c>
      <c r="Z154" s="41">
        <f>INDEX(Curva_Temp[Warranted Power Curve for 
1.194Kg/m3 air density '[kW']
SG 5.0-145 (AM 0, 5.0MW) AT 
90M],MATCH(TBL_CalcDarwin[[#This Row],[Darwin Temp.
°C]],Curva_Temp[Temp]))</f>
        <v>5000</v>
      </c>
      <c r="AA154" s="41" cm="1">
        <f t="array" ref="AA154">INDEX(Curva_Temp[Temp],MATCH(TBL_CalcDarwin[[#This Row],[Darwin Temp.
°C]],Curva_Temp[Temp])+1)</f>
        <v>20</v>
      </c>
      <c r="AB154" s="41" cm="1">
        <f t="array" ref="AB154">INDEX(Curva_Temp[Warranted Power Curve for 
1.194Kg/m3 air density '[kW']
SG 5.0-145 (AM 0, 5.0MW) AT 
90M],MATCH(TBL_CalcDarwin[[#This Row],[Darwin Temp.
°C]],Curva_Temp[Temp])+1)</f>
        <v>5000</v>
      </c>
      <c r="AC154" s="45">
        <f>HLOOKUP(TBL_CalcDarwin[[#This Row],[Fecha]],'Plantilla AEG ES'!$E$1:$HX$13,2,FALSE)</f>
        <v>5</v>
      </c>
      <c r="AD154" s="45">
        <f>HLOOKUP(TBL_CalcDarwin[[#This Row],[Fecha]],'Plantilla AEG ES'!$E$1:$HX$13,3,FALSE)</f>
        <v>7</v>
      </c>
      <c r="AE154" s="45">
        <f>HLOOKUP(TBL_CalcDarwin[[#This Row],[Fecha]],'Plantilla AEG ES'!$E$1:$HX$13,4,FALSE)</f>
        <v>11</v>
      </c>
      <c r="AF154" s="45">
        <f>HLOOKUP(TBL_CalcDarwin[[#This Row],[Fecha]],'Plantilla AEG ES'!$E$1:$HX$13,5,FALSE)</f>
        <v>1</v>
      </c>
      <c r="AG154" s="45">
        <f>HLOOKUP(TBL_CalcDarwin[[#This Row],[Fecha]],'Plantilla AEG ES'!$E$1:$HX$13,6,FALSE)</f>
        <v>1</v>
      </c>
      <c r="AH154" s="45">
        <f>HLOOKUP(TBL_CalcDarwin[[#This Row],[Fecha]],'Plantilla AEG ES'!$E$1:$HX$13,7,FALSE)</f>
        <v>0</v>
      </c>
      <c r="AI154" s="46">
        <f>HLOOKUP(TBL_CalcDarwin[[#This Row],[Fecha]],'Plantilla AEG ES'!$E$1:$HX$13,8,FALSE)</f>
        <v>0</v>
      </c>
      <c r="AJ154" s="46">
        <f>HLOOKUP(TBL_CalcDarwin[[#This Row],[Fecha]],'Plantilla AEG ES'!$E$1:$HX$13,9,FALSE)</f>
        <v>3</v>
      </c>
      <c r="AK154" s="46">
        <f>HLOOKUP(TBL_CalcDarwin[[#This Row],[Fecha]],'Plantilla AEG ES'!$E$1:$HX$13,10,FALSE)</f>
        <v>12</v>
      </c>
      <c r="AL154" s="46">
        <f>HLOOKUP(TBL_CalcDarwin[[#This Row],[Fecha]],'Plantilla AEG ES'!$E$1:$HX$13,11,FALSE)</f>
        <v>1</v>
      </c>
      <c r="AM154" s="46">
        <f>HLOOKUP(TBL_CalcDarwin[[#This Row],[Fecha]],'Plantilla AEG ES'!$E$1:$HX$13,12,FALSE)</f>
        <v>7</v>
      </c>
      <c r="AN154" s="46">
        <f>HLOOKUP(TBL_CalcDarwin[[#This Row],[Fecha]],'Plantilla AEG ES'!$E$1:$HX$13,13,FALSE)</f>
        <v>1</v>
      </c>
      <c r="AO154" s="37">
        <f>TBL_CalcDarwin[[#This Row],[Lomitas - Barra A - 5.2 - Cerro]]+TBL_CalcDarwin[[#This Row],[Lomitas - Barra A - 5.2 - Medio]]+TBL_CalcDarwin[[#This Row],[Lomitas - Barra A - 5.2 - Mar]]</f>
        <v>23</v>
      </c>
      <c r="AP1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1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54" s="37">
        <f>TBL_CalcDarwin[[#This Row],[Expansión - Barra A - 5.2 - Cerro]]+TBL_CalcDarwin[[#This Row],[Expansión - Barra A - 5.2 - Medio]]+TBL_CalcDarwin[[#This Row],[Expansión - Barra A - 5.2 - Mar]]</f>
        <v>2</v>
      </c>
      <c r="AT154" s="37">
        <f>TBL_CalcDarwin[[#This Row],[Expansión - Barra B - 5.2 - Cerro]]</f>
        <v>1</v>
      </c>
      <c r="AU1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54" s="29">
        <f>TBL_CalcDarwin[[#This Row],[Expansión - Barra B - 5.2 - Cerro]]*TBL_CalcDarwin[[#This Row],[AEG 5.2 MW Cerro]]</f>
        <v>1.597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5">
        <f t="shared" si="13"/>
        <v>45590.374999999636</v>
      </c>
      <c r="C155" s="17">
        <f t="shared" si="15"/>
        <v>6.3750000000000107</v>
      </c>
      <c r="D155" s="34">
        <f>TBL_CalcDarwin[[#This Row],[Darwin PLOM
MW]]+TBL_CalcDarwin[[#This Row],[Darwin PLOME
MW]]</f>
        <v>159.38400000000001</v>
      </c>
      <c r="E155" s="34">
        <f>TBL_CalcDarwin[[#This Row],[PLOM MW TOTAL BARRA A]]+TBL_CalcDarwin[[#This Row],[PLOM MW TOTAL BARRA B]]</f>
        <v>153.31200000000001</v>
      </c>
      <c r="F155" s="34">
        <f>TBL_CalcDarwin[[#This Row],[PLOME MW TOTAL BARRA A]]+TBL_CalcDarwin[[#This Row],[PLOME MW TOTAL BARRA B]]</f>
        <v>6.0719999999999992</v>
      </c>
      <c r="G155" s="48">
        <f>'Plantilla Datos'!D160</f>
        <v>7.5</v>
      </c>
      <c r="H155" s="48">
        <f>'Plantilla Datos'!E160</f>
        <v>9.4</v>
      </c>
      <c r="I155" s="49">
        <f>'Plantilla Datos'!F160</f>
        <v>16.8</v>
      </c>
      <c r="J155" s="47">
        <f>CEILING('Plantilla Datos'!$L$3*TBL_CalcDarwin[[#This Row],[Darwin Gusts
m/s]],0.5)</f>
        <v>7</v>
      </c>
      <c r="K155" s="47">
        <f>CEILING('Plantilla Datos'!$L$4*TBL_CalcDarwin[[#This Row],[Darwin Gusts
m/s]],0.5)</f>
        <v>8.5</v>
      </c>
      <c r="L155" s="47">
        <f>CEILING(TBL_CalcDarwin[[#This Row],[Darwin Gusts
m/s]],0.5)</f>
        <v>9.5</v>
      </c>
      <c r="M1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55" s="41">
        <f>INDEX(Curva_Temp[Temp],MATCH(TBL_CalcDarwin[[#This Row],[Darwin Temp.
°C]],Curva_Temp[Temp]))</f>
        <v>15</v>
      </c>
      <c r="R155" s="41">
        <f>INDEX(Curva_Temp[Warranted Power Curve for 
1.194Kg/m3 air density '[kW']
SG 5.0-145 (AM+1, 5.2MW) AT 
90M],MATCH(TBL_CalcDarwin[[#This Row],[Darwin Temp.
°C]],Curva_Temp[Temp]))</f>
        <v>5200</v>
      </c>
      <c r="S155" s="41" cm="1">
        <f t="array" ref="S155">INDEX(Curva_Temp[Temp],MATCH(TBL_CalcDarwin[[#This Row],[Darwin Temp.
°C]],Curva_Temp[Temp])+1)</f>
        <v>20</v>
      </c>
      <c r="T155" s="41" cm="1">
        <f t="array" ref="T155">INDEX(Curva_Temp[Warranted Power Curve for 
1.194Kg/m3 air density '[kW']
SG 5.0-145 (AM+1, 5.2MW) AT 
90M],MATCH(TBL_CalcDarwin[[#This Row],[Darwin Temp.
°C]],Curva_Temp[Temp])+1)</f>
        <v>5000</v>
      </c>
      <c r="U1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55" s="41">
        <f>INDEX(Curva_Temp[Temp],MATCH(TBL_CalcDarwin[[#This Row],[Darwin Temp.
°C]],Curva_Temp[Temp]))</f>
        <v>15</v>
      </c>
      <c r="Z155" s="41">
        <f>INDEX(Curva_Temp[Warranted Power Curve for 
1.194Kg/m3 air density '[kW']
SG 5.0-145 (AM 0, 5.0MW) AT 
90M],MATCH(TBL_CalcDarwin[[#This Row],[Darwin Temp.
°C]],Curva_Temp[Temp]))</f>
        <v>5000</v>
      </c>
      <c r="AA155" s="41" cm="1">
        <f t="array" ref="AA155">INDEX(Curva_Temp[Temp],MATCH(TBL_CalcDarwin[[#This Row],[Darwin Temp.
°C]],Curva_Temp[Temp])+1)</f>
        <v>20</v>
      </c>
      <c r="AB155" s="41" cm="1">
        <f t="array" ref="AB155">INDEX(Curva_Temp[Warranted Power Curve for 
1.194Kg/m3 air density '[kW']
SG 5.0-145 (AM 0, 5.0MW) AT 
90M],MATCH(TBL_CalcDarwin[[#This Row],[Darwin Temp.
°C]],Curva_Temp[Temp])+1)</f>
        <v>5000</v>
      </c>
      <c r="AC155" s="45">
        <f>HLOOKUP(TBL_CalcDarwin[[#This Row],[Fecha]],'Plantilla AEG ES'!$E$1:$HX$13,2,FALSE)</f>
        <v>5</v>
      </c>
      <c r="AD155" s="45">
        <f>HLOOKUP(TBL_CalcDarwin[[#This Row],[Fecha]],'Plantilla AEG ES'!$E$1:$HX$13,3,FALSE)</f>
        <v>7</v>
      </c>
      <c r="AE155" s="45">
        <f>HLOOKUP(TBL_CalcDarwin[[#This Row],[Fecha]],'Plantilla AEG ES'!$E$1:$HX$13,4,FALSE)</f>
        <v>11</v>
      </c>
      <c r="AF155" s="45">
        <f>HLOOKUP(TBL_CalcDarwin[[#This Row],[Fecha]],'Plantilla AEG ES'!$E$1:$HX$13,5,FALSE)</f>
        <v>1</v>
      </c>
      <c r="AG155" s="45">
        <f>HLOOKUP(TBL_CalcDarwin[[#This Row],[Fecha]],'Plantilla AEG ES'!$E$1:$HX$13,6,FALSE)</f>
        <v>1</v>
      </c>
      <c r="AH155" s="45">
        <f>HLOOKUP(TBL_CalcDarwin[[#This Row],[Fecha]],'Plantilla AEG ES'!$E$1:$HX$13,7,FALSE)</f>
        <v>0</v>
      </c>
      <c r="AI155" s="46">
        <f>HLOOKUP(TBL_CalcDarwin[[#This Row],[Fecha]],'Plantilla AEG ES'!$E$1:$HX$13,8,FALSE)</f>
        <v>0</v>
      </c>
      <c r="AJ155" s="46">
        <f>HLOOKUP(TBL_CalcDarwin[[#This Row],[Fecha]],'Plantilla AEG ES'!$E$1:$HX$13,9,FALSE)</f>
        <v>3</v>
      </c>
      <c r="AK155" s="46">
        <f>HLOOKUP(TBL_CalcDarwin[[#This Row],[Fecha]],'Plantilla AEG ES'!$E$1:$HX$13,10,FALSE)</f>
        <v>12</v>
      </c>
      <c r="AL155" s="46">
        <f>HLOOKUP(TBL_CalcDarwin[[#This Row],[Fecha]],'Plantilla AEG ES'!$E$1:$HX$13,11,FALSE)</f>
        <v>1</v>
      </c>
      <c r="AM155" s="46">
        <f>HLOOKUP(TBL_CalcDarwin[[#This Row],[Fecha]],'Plantilla AEG ES'!$E$1:$HX$13,12,FALSE)</f>
        <v>7</v>
      </c>
      <c r="AN155" s="46">
        <f>HLOOKUP(TBL_CalcDarwin[[#This Row],[Fecha]],'Plantilla AEG ES'!$E$1:$HX$13,13,FALSE)</f>
        <v>1</v>
      </c>
      <c r="AO155" s="37">
        <f>TBL_CalcDarwin[[#This Row],[Lomitas - Barra A - 5.2 - Cerro]]+TBL_CalcDarwin[[#This Row],[Lomitas - Barra A - 5.2 - Medio]]+TBL_CalcDarwin[[#This Row],[Lomitas - Barra A - 5.2 - Mar]]</f>
        <v>23</v>
      </c>
      <c r="AP1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70.393000000000001</v>
      </c>
      <c r="AR1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55" s="37">
        <f>TBL_CalcDarwin[[#This Row],[Expansión - Barra A - 5.2 - Cerro]]+TBL_CalcDarwin[[#This Row],[Expansión - Barra A - 5.2 - Medio]]+TBL_CalcDarwin[[#This Row],[Expansión - Barra A - 5.2 - Mar]]</f>
        <v>2</v>
      </c>
      <c r="AT155" s="37">
        <f>TBL_CalcDarwin[[#This Row],[Expansión - Barra B - 5.2 - Cerro]]</f>
        <v>1</v>
      </c>
      <c r="AU1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55" s="29">
        <f>TBL_CalcDarwin[[#This Row],[Expansión - Barra B - 5.2 - Cerro]]*TBL_CalcDarwin[[#This Row],[AEG 5.2 MW Cerro]]</f>
        <v>1.597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5">
        <f t="shared" si="13"/>
        <v>45590.4166666663</v>
      </c>
      <c r="C156" s="17">
        <f t="shared" si="15"/>
        <v>6.4166666666666776</v>
      </c>
      <c r="D156" s="34">
        <f>TBL_CalcDarwin[[#This Row],[Darwin PLOM
MW]]+TBL_CalcDarwin[[#This Row],[Darwin PLOME
MW]]</f>
        <v>175.49299999999999</v>
      </c>
      <c r="E156" s="34">
        <f>TBL_CalcDarwin[[#This Row],[PLOM MW TOTAL BARRA A]]+TBL_CalcDarwin[[#This Row],[PLOM MW TOTAL BARRA B]]</f>
        <v>168.65899999999999</v>
      </c>
      <c r="F156" s="34">
        <f>TBL_CalcDarwin[[#This Row],[PLOME MW TOTAL BARRA A]]+TBL_CalcDarwin[[#This Row],[PLOME MW TOTAL BARRA B]]</f>
        <v>6.8339999999999996</v>
      </c>
      <c r="G156" s="48">
        <f>'Plantilla Datos'!D161</f>
        <v>7.8</v>
      </c>
      <c r="H156" s="48">
        <f>'Plantilla Datos'!E161</f>
        <v>9.8000000000000007</v>
      </c>
      <c r="I156" s="49">
        <f>'Plantilla Datos'!F161</f>
        <v>17.2</v>
      </c>
      <c r="J156" s="47">
        <f>CEILING('Plantilla Datos'!$L$3*TBL_CalcDarwin[[#This Row],[Darwin Gusts
m/s]],0.5)</f>
        <v>7.5</v>
      </c>
      <c r="K156" s="47">
        <f>CEILING('Plantilla Datos'!$L$4*TBL_CalcDarwin[[#This Row],[Darwin Gusts
m/s]],0.5)</f>
        <v>8.5</v>
      </c>
      <c r="L156" s="47">
        <f>CEILING(TBL_CalcDarwin[[#This Row],[Darwin Gusts
m/s]],0.5)</f>
        <v>10</v>
      </c>
      <c r="M1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56" s="41">
        <f>INDEX(Curva_Temp[Temp],MATCH(TBL_CalcDarwin[[#This Row],[Darwin Temp.
°C]],Curva_Temp[Temp]))</f>
        <v>15</v>
      </c>
      <c r="R156" s="41">
        <f>INDEX(Curva_Temp[Warranted Power Curve for 
1.194Kg/m3 air density '[kW']
SG 5.0-145 (AM+1, 5.2MW) AT 
90M],MATCH(TBL_CalcDarwin[[#This Row],[Darwin Temp.
°C]],Curva_Temp[Temp]))</f>
        <v>5200</v>
      </c>
      <c r="S156" s="41" cm="1">
        <f t="array" ref="S156">INDEX(Curva_Temp[Temp],MATCH(TBL_CalcDarwin[[#This Row],[Darwin Temp.
°C]],Curva_Temp[Temp])+1)</f>
        <v>20</v>
      </c>
      <c r="T156" s="41" cm="1">
        <f t="array" ref="T156">INDEX(Curva_Temp[Warranted Power Curve for 
1.194Kg/m3 air density '[kW']
SG 5.0-145 (AM+1, 5.2MW) AT 
90M],MATCH(TBL_CalcDarwin[[#This Row],[Darwin Temp.
°C]],Curva_Temp[Temp])+1)</f>
        <v>5000</v>
      </c>
      <c r="U1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56" s="41">
        <f>INDEX(Curva_Temp[Temp],MATCH(TBL_CalcDarwin[[#This Row],[Darwin Temp.
°C]],Curva_Temp[Temp]))</f>
        <v>15</v>
      </c>
      <c r="Z156" s="41">
        <f>INDEX(Curva_Temp[Warranted Power Curve for 
1.194Kg/m3 air density '[kW']
SG 5.0-145 (AM 0, 5.0MW) AT 
90M],MATCH(TBL_CalcDarwin[[#This Row],[Darwin Temp.
°C]],Curva_Temp[Temp]))</f>
        <v>5000</v>
      </c>
      <c r="AA156" s="41" cm="1">
        <f t="array" ref="AA156">INDEX(Curva_Temp[Temp],MATCH(TBL_CalcDarwin[[#This Row],[Darwin Temp.
°C]],Curva_Temp[Temp])+1)</f>
        <v>20</v>
      </c>
      <c r="AB156" s="41" cm="1">
        <f t="array" ref="AB156">INDEX(Curva_Temp[Warranted Power Curve for 
1.194Kg/m3 air density '[kW']
SG 5.0-145 (AM 0, 5.0MW) AT 
90M],MATCH(TBL_CalcDarwin[[#This Row],[Darwin Temp.
°C]],Curva_Temp[Temp])+1)</f>
        <v>5000</v>
      </c>
      <c r="AC156" s="45">
        <f>HLOOKUP(TBL_CalcDarwin[[#This Row],[Fecha]],'Plantilla AEG ES'!$E$1:$HX$13,2,FALSE)</f>
        <v>5</v>
      </c>
      <c r="AD156" s="45">
        <f>HLOOKUP(TBL_CalcDarwin[[#This Row],[Fecha]],'Plantilla AEG ES'!$E$1:$HX$13,3,FALSE)</f>
        <v>7</v>
      </c>
      <c r="AE156" s="45">
        <f>HLOOKUP(TBL_CalcDarwin[[#This Row],[Fecha]],'Plantilla AEG ES'!$E$1:$HX$13,4,FALSE)</f>
        <v>11</v>
      </c>
      <c r="AF156" s="45">
        <f>HLOOKUP(TBL_CalcDarwin[[#This Row],[Fecha]],'Plantilla AEG ES'!$E$1:$HX$13,5,FALSE)</f>
        <v>1</v>
      </c>
      <c r="AG156" s="45">
        <f>HLOOKUP(TBL_CalcDarwin[[#This Row],[Fecha]],'Plantilla AEG ES'!$E$1:$HX$13,6,FALSE)</f>
        <v>1</v>
      </c>
      <c r="AH156" s="45">
        <f>HLOOKUP(TBL_CalcDarwin[[#This Row],[Fecha]],'Plantilla AEG ES'!$E$1:$HX$13,7,FALSE)</f>
        <v>0</v>
      </c>
      <c r="AI156" s="46">
        <f>HLOOKUP(TBL_CalcDarwin[[#This Row],[Fecha]],'Plantilla AEG ES'!$E$1:$HX$13,8,FALSE)</f>
        <v>0</v>
      </c>
      <c r="AJ156" s="46">
        <f>HLOOKUP(TBL_CalcDarwin[[#This Row],[Fecha]],'Plantilla AEG ES'!$E$1:$HX$13,9,FALSE)</f>
        <v>3</v>
      </c>
      <c r="AK156" s="46">
        <f>HLOOKUP(TBL_CalcDarwin[[#This Row],[Fecha]],'Plantilla AEG ES'!$E$1:$HX$13,10,FALSE)</f>
        <v>12</v>
      </c>
      <c r="AL156" s="46">
        <f>HLOOKUP(TBL_CalcDarwin[[#This Row],[Fecha]],'Plantilla AEG ES'!$E$1:$HX$13,11,FALSE)</f>
        <v>1</v>
      </c>
      <c r="AM156" s="46">
        <f>HLOOKUP(TBL_CalcDarwin[[#This Row],[Fecha]],'Plantilla AEG ES'!$E$1:$HX$13,12,FALSE)</f>
        <v>7</v>
      </c>
      <c r="AN156" s="46">
        <f>HLOOKUP(TBL_CalcDarwin[[#This Row],[Fecha]],'Plantilla AEG ES'!$E$1:$HX$13,13,FALSE)</f>
        <v>1</v>
      </c>
      <c r="AO156" s="37">
        <f>TBL_CalcDarwin[[#This Row],[Lomitas - Barra A - 5.2 - Cerro]]+TBL_CalcDarwin[[#This Row],[Lomitas - Barra A - 5.2 - Medio]]+TBL_CalcDarwin[[#This Row],[Lomitas - Barra A - 5.2 - Mar]]</f>
        <v>23</v>
      </c>
      <c r="AP1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77.16</v>
      </c>
      <c r="AR1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56" s="37">
        <f>TBL_CalcDarwin[[#This Row],[Expansión - Barra A - 5.2 - Cerro]]+TBL_CalcDarwin[[#This Row],[Expansión - Barra A - 5.2 - Medio]]+TBL_CalcDarwin[[#This Row],[Expansión - Barra A - 5.2 - Mar]]</f>
        <v>2</v>
      </c>
      <c r="AT156" s="37">
        <f>TBL_CalcDarwin[[#This Row],[Expansión - Barra B - 5.2 - Cerro]]</f>
        <v>1</v>
      </c>
      <c r="AU1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56" s="29">
        <f>TBL_CalcDarwin[[#This Row],[Expansión - Barra B - 5.2 - Cerro]]*TBL_CalcDarwin[[#This Row],[AEG 5.2 MW Cerro]]</f>
        <v>1.978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5">
        <f t="shared" si="13"/>
        <v>45590.458333332965</v>
      </c>
      <c r="C157" s="17">
        <f t="shared" si="15"/>
        <v>6.4583333333333446</v>
      </c>
      <c r="D157" s="34">
        <f>TBL_CalcDarwin[[#This Row],[Darwin PLOM
MW]]+TBL_CalcDarwin[[#This Row],[Darwin PLOME
MW]]</f>
        <v>199.93799999999999</v>
      </c>
      <c r="E157" s="34">
        <f>TBL_CalcDarwin[[#This Row],[PLOM MW TOTAL BARRA A]]+TBL_CalcDarwin[[#This Row],[PLOM MW TOTAL BARRA B]]</f>
        <v>192.61599999999999</v>
      </c>
      <c r="F157" s="34">
        <f>TBL_CalcDarwin[[#This Row],[PLOME MW TOTAL BARRA A]]+TBL_CalcDarwin[[#This Row],[PLOME MW TOTAL BARRA B]]</f>
        <v>7.3220000000000001</v>
      </c>
      <c r="G157" s="48">
        <f>'Plantilla Datos'!D162</f>
        <v>8.1</v>
      </c>
      <c r="H157" s="48">
        <f>'Plantilla Datos'!E162</f>
        <v>10.1</v>
      </c>
      <c r="I157" s="49">
        <f>'Plantilla Datos'!F162</f>
        <v>17.7</v>
      </c>
      <c r="J157" s="47">
        <f>CEILING('Plantilla Datos'!$L$3*TBL_CalcDarwin[[#This Row],[Darwin Gusts
m/s]],0.5)</f>
        <v>7.5</v>
      </c>
      <c r="K157" s="47">
        <f>CEILING('Plantilla Datos'!$L$4*TBL_CalcDarwin[[#This Row],[Darwin Gusts
m/s]],0.5)</f>
        <v>9</v>
      </c>
      <c r="L157" s="47">
        <f>CEILING(TBL_CalcDarwin[[#This Row],[Darwin Gusts
m/s]],0.5)</f>
        <v>10.5</v>
      </c>
      <c r="M1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57" s="41">
        <f>INDEX(Curva_Temp[Temp],MATCH(TBL_CalcDarwin[[#This Row],[Darwin Temp.
°C]],Curva_Temp[Temp]))</f>
        <v>15</v>
      </c>
      <c r="R157" s="41">
        <f>INDEX(Curva_Temp[Warranted Power Curve for 
1.194Kg/m3 air density '[kW']
SG 5.0-145 (AM+1, 5.2MW) AT 
90M],MATCH(TBL_CalcDarwin[[#This Row],[Darwin Temp.
°C]],Curva_Temp[Temp]))</f>
        <v>5200</v>
      </c>
      <c r="S157" s="41" cm="1">
        <f t="array" ref="S157">INDEX(Curva_Temp[Temp],MATCH(TBL_CalcDarwin[[#This Row],[Darwin Temp.
°C]],Curva_Temp[Temp])+1)</f>
        <v>20</v>
      </c>
      <c r="T157" s="41" cm="1">
        <f t="array" ref="T157">INDEX(Curva_Temp[Warranted Power Curve for 
1.194Kg/m3 air density '[kW']
SG 5.0-145 (AM+1, 5.2MW) AT 
90M],MATCH(TBL_CalcDarwin[[#This Row],[Darwin Temp.
°C]],Curva_Temp[Temp])+1)</f>
        <v>5000</v>
      </c>
      <c r="U1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57" s="41">
        <f>INDEX(Curva_Temp[Temp],MATCH(TBL_CalcDarwin[[#This Row],[Darwin Temp.
°C]],Curva_Temp[Temp]))</f>
        <v>15</v>
      </c>
      <c r="Z157" s="41">
        <f>INDEX(Curva_Temp[Warranted Power Curve for 
1.194Kg/m3 air density '[kW']
SG 5.0-145 (AM 0, 5.0MW) AT 
90M],MATCH(TBL_CalcDarwin[[#This Row],[Darwin Temp.
°C]],Curva_Temp[Temp]))</f>
        <v>5000</v>
      </c>
      <c r="AA157" s="41" cm="1">
        <f t="array" ref="AA157">INDEX(Curva_Temp[Temp],MATCH(TBL_CalcDarwin[[#This Row],[Darwin Temp.
°C]],Curva_Temp[Temp])+1)</f>
        <v>20</v>
      </c>
      <c r="AB157" s="41" cm="1">
        <f t="array" ref="AB157">INDEX(Curva_Temp[Warranted Power Curve for 
1.194Kg/m3 air density '[kW']
SG 5.0-145 (AM 0, 5.0MW) AT 
90M],MATCH(TBL_CalcDarwin[[#This Row],[Darwin Temp.
°C]],Curva_Temp[Temp])+1)</f>
        <v>5000</v>
      </c>
      <c r="AC157" s="45">
        <f>HLOOKUP(TBL_CalcDarwin[[#This Row],[Fecha]],'Plantilla AEG ES'!$E$1:$HX$13,2,FALSE)</f>
        <v>5</v>
      </c>
      <c r="AD157" s="45">
        <f>HLOOKUP(TBL_CalcDarwin[[#This Row],[Fecha]],'Plantilla AEG ES'!$E$1:$HX$13,3,FALSE)</f>
        <v>8</v>
      </c>
      <c r="AE157" s="45">
        <f>HLOOKUP(TBL_CalcDarwin[[#This Row],[Fecha]],'Plantilla AEG ES'!$E$1:$HX$13,4,FALSE)</f>
        <v>12</v>
      </c>
      <c r="AF157" s="45">
        <f>HLOOKUP(TBL_CalcDarwin[[#This Row],[Fecha]],'Plantilla AEG ES'!$E$1:$HX$13,5,FALSE)</f>
        <v>1</v>
      </c>
      <c r="AG157" s="45">
        <f>HLOOKUP(TBL_CalcDarwin[[#This Row],[Fecha]],'Plantilla AEG ES'!$E$1:$HX$13,6,FALSE)</f>
        <v>1</v>
      </c>
      <c r="AH157" s="45">
        <f>HLOOKUP(TBL_CalcDarwin[[#This Row],[Fecha]],'Plantilla AEG ES'!$E$1:$HX$13,7,FALSE)</f>
        <v>0</v>
      </c>
      <c r="AI157" s="46">
        <f>HLOOKUP(TBL_CalcDarwin[[#This Row],[Fecha]],'Plantilla AEG ES'!$E$1:$HX$13,8,FALSE)</f>
        <v>0</v>
      </c>
      <c r="AJ157" s="46">
        <f>HLOOKUP(TBL_CalcDarwin[[#This Row],[Fecha]],'Plantilla AEG ES'!$E$1:$HX$13,9,FALSE)</f>
        <v>3</v>
      </c>
      <c r="AK157" s="46">
        <f>HLOOKUP(TBL_CalcDarwin[[#This Row],[Fecha]],'Plantilla AEG ES'!$E$1:$HX$13,10,FALSE)</f>
        <v>12</v>
      </c>
      <c r="AL157" s="46">
        <f>HLOOKUP(TBL_CalcDarwin[[#This Row],[Fecha]],'Plantilla AEG ES'!$E$1:$HX$13,11,FALSE)</f>
        <v>1</v>
      </c>
      <c r="AM157" s="46">
        <f>HLOOKUP(TBL_CalcDarwin[[#This Row],[Fecha]],'Plantilla AEG ES'!$E$1:$HX$13,12,FALSE)</f>
        <v>7</v>
      </c>
      <c r="AN157" s="46">
        <f>HLOOKUP(TBL_CalcDarwin[[#This Row],[Fecha]],'Plantilla AEG ES'!$E$1:$HX$13,13,FALSE)</f>
        <v>1</v>
      </c>
      <c r="AO157" s="37">
        <f>TBL_CalcDarwin[[#This Row],[Lomitas - Barra A - 5.2 - Cerro]]+TBL_CalcDarwin[[#This Row],[Lomitas - Barra A - 5.2 - Medio]]+TBL_CalcDarwin[[#This Row],[Lomitas - Barra A - 5.2 - Mar]]</f>
        <v>25</v>
      </c>
      <c r="AP1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57" s="37">
        <f>TBL_CalcDarwin[[#This Row],[Expansión - Barra A - 5.2 - Cerro]]+TBL_CalcDarwin[[#This Row],[Expansión - Barra A - 5.2 - Medio]]+TBL_CalcDarwin[[#This Row],[Expansión - Barra A - 5.2 - Mar]]</f>
        <v>2</v>
      </c>
      <c r="AT157" s="37">
        <f>TBL_CalcDarwin[[#This Row],[Expansión - Barra B - 5.2 - Cerro]]</f>
        <v>1</v>
      </c>
      <c r="AU1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57" s="29">
        <f>TBL_CalcDarwin[[#This Row],[Expansión - Barra B - 5.2 - Cerro]]*TBL_CalcDarwin[[#This Row],[AEG 5.2 MW Cerro]]</f>
        <v>1.978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5">
        <f t="shared" si="13"/>
        <v>45590.499999999629</v>
      </c>
      <c r="C158" s="17">
        <f t="shared" si="15"/>
        <v>6.5000000000000115</v>
      </c>
      <c r="D158" s="34">
        <f>TBL_CalcDarwin[[#This Row],[Darwin PLOM
MW]]+TBL_CalcDarwin[[#This Row],[Darwin PLOME
MW]]</f>
        <v>203.38</v>
      </c>
      <c r="E158" s="34">
        <f>TBL_CalcDarwin[[#This Row],[PLOM MW TOTAL BARRA A]]+TBL_CalcDarwin[[#This Row],[PLOM MW TOTAL BARRA B]]</f>
        <v>195.196</v>
      </c>
      <c r="F158" s="34">
        <f>TBL_CalcDarwin[[#This Row],[PLOME MW TOTAL BARRA A]]+TBL_CalcDarwin[[#This Row],[PLOME MW TOTAL BARRA B]]</f>
        <v>8.1840000000000011</v>
      </c>
      <c r="G158" s="48">
        <f>'Plantilla Datos'!D163</f>
        <v>8.4</v>
      </c>
      <c r="H158" s="48">
        <f>'Plantilla Datos'!E163</f>
        <v>10.5</v>
      </c>
      <c r="I158" s="49">
        <f>'Plantilla Datos'!F163</f>
        <v>18.100000000000001</v>
      </c>
      <c r="J158" s="47">
        <f>CEILING('Plantilla Datos'!$L$3*TBL_CalcDarwin[[#This Row],[Darwin Gusts
m/s]],0.5)</f>
        <v>8</v>
      </c>
      <c r="K158" s="47">
        <f>CEILING('Plantilla Datos'!$L$4*TBL_CalcDarwin[[#This Row],[Darwin Gusts
m/s]],0.5)</f>
        <v>9</v>
      </c>
      <c r="L158" s="47">
        <f>CEILING(TBL_CalcDarwin[[#This Row],[Darwin Gusts
m/s]],0.5)</f>
        <v>10.5</v>
      </c>
      <c r="M1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1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58" s="41">
        <f>INDEX(Curva_Temp[Temp],MATCH(TBL_CalcDarwin[[#This Row],[Darwin Temp.
°C]],Curva_Temp[Temp]))</f>
        <v>15</v>
      </c>
      <c r="R158" s="41">
        <f>INDEX(Curva_Temp[Warranted Power Curve for 
1.194Kg/m3 air density '[kW']
SG 5.0-145 (AM+1, 5.2MW) AT 
90M],MATCH(TBL_CalcDarwin[[#This Row],[Darwin Temp.
°C]],Curva_Temp[Temp]))</f>
        <v>5200</v>
      </c>
      <c r="S158" s="41" cm="1">
        <f t="array" ref="S158">INDEX(Curva_Temp[Temp],MATCH(TBL_CalcDarwin[[#This Row],[Darwin Temp.
°C]],Curva_Temp[Temp])+1)</f>
        <v>20</v>
      </c>
      <c r="T158" s="41" cm="1">
        <f t="array" ref="T158">INDEX(Curva_Temp[Warranted Power Curve for 
1.194Kg/m3 air density '[kW']
SG 5.0-145 (AM+1, 5.2MW) AT 
90M],MATCH(TBL_CalcDarwin[[#This Row],[Darwin Temp.
°C]],Curva_Temp[Temp])+1)</f>
        <v>5000</v>
      </c>
      <c r="U1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58" s="41">
        <f>INDEX(Curva_Temp[Temp],MATCH(TBL_CalcDarwin[[#This Row],[Darwin Temp.
°C]],Curva_Temp[Temp]))</f>
        <v>15</v>
      </c>
      <c r="Z158" s="41">
        <f>INDEX(Curva_Temp[Warranted Power Curve for 
1.194Kg/m3 air density '[kW']
SG 5.0-145 (AM 0, 5.0MW) AT 
90M],MATCH(TBL_CalcDarwin[[#This Row],[Darwin Temp.
°C]],Curva_Temp[Temp]))</f>
        <v>5000</v>
      </c>
      <c r="AA158" s="41" cm="1">
        <f t="array" ref="AA158">INDEX(Curva_Temp[Temp],MATCH(TBL_CalcDarwin[[#This Row],[Darwin Temp.
°C]],Curva_Temp[Temp])+1)</f>
        <v>20</v>
      </c>
      <c r="AB158" s="41" cm="1">
        <f t="array" ref="AB158">INDEX(Curva_Temp[Warranted Power Curve for 
1.194Kg/m3 air density '[kW']
SG 5.0-145 (AM 0, 5.0MW) AT 
90M],MATCH(TBL_CalcDarwin[[#This Row],[Darwin Temp.
°C]],Curva_Temp[Temp])+1)</f>
        <v>5000</v>
      </c>
      <c r="AC158" s="45">
        <f>HLOOKUP(TBL_CalcDarwin[[#This Row],[Fecha]],'Plantilla AEG ES'!$E$1:$HX$13,2,FALSE)</f>
        <v>5</v>
      </c>
      <c r="AD158" s="45">
        <f>HLOOKUP(TBL_CalcDarwin[[#This Row],[Fecha]],'Plantilla AEG ES'!$E$1:$HX$13,3,FALSE)</f>
        <v>8</v>
      </c>
      <c r="AE158" s="45">
        <f>HLOOKUP(TBL_CalcDarwin[[#This Row],[Fecha]],'Plantilla AEG ES'!$E$1:$HX$13,4,FALSE)</f>
        <v>12</v>
      </c>
      <c r="AF158" s="45">
        <f>HLOOKUP(TBL_CalcDarwin[[#This Row],[Fecha]],'Plantilla AEG ES'!$E$1:$HX$13,5,FALSE)</f>
        <v>1</v>
      </c>
      <c r="AG158" s="45">
        <f>HLOOKUP(TBL_CalcDarwin[[#This Row],[Fecha]],'Plantilla AEG ES'!$E$1:$HX$13,6,FALSE)</f>
        <v>1</v>
      </c>
      <c r="AH158" s="45">
        <f>HLOOKUP(TBL_CalcDarwin[[#This Row],[Fecha]],'Plantilla AEG ES'!$E$1:$HX$13,7,FALSE)</f>
        <v>0</v>
      </c>
      <c r="AI158" s="46">
        <f>HLOOKUP(TBL_CalcDarwin[[#This Row],[Fecha]],'Plantilla AEG ES'!$E$1:$HX$13,8,FALSE)</f>
        <v>0</v>
      </c>
      <c r="AJ158" s="46">
        <f>HLOOKUP(TBL_CalcDarwin[[#This Row],[Fecha]],'Plantilla AEG ES'!$E$1:$HX$13,9,FALSE)</f>
        <v>3</v>
      </c>
      <c r="AK158" s="46">
        <f>HLOOKUP(TBL_CalcDarwin[[#This Row],[Fecha]],'Plantilla AEG ES'!$E$1:$HX$13,10,FALSE)</f>
        <v>12</v>
      </c>
      <c r="AL158" s="46">
        <f>HLOOKUP(TBL_CalcDarwin[[#This Row],[Fecha]],'Plantilla AEG ES'!$E$1:$HX$13,11,FALSE)</f>
        <v>1</v>
      </c>
      <c r="AM158" s="46">
        <f>HLOOKUP(TBL_CalcDarwin[[#This Row],[Fecha]],'Plantilla AEG ES'!$E$1:$HX$13,12,FALSE)</f>
        <v>7</v>
      </c>
      <c r="AN158" s="46">
        <f>HLOOKUP(TBL_CalcDarwin[[#This Row],[Fecha]],'Plantilla AEG ES'!$E$1:$HX$13,13,FALSE)</f>
        <v>1</v>
      </c>
      <c r="AO158" s="37">
        <f>TBL_CalcDarwin[[#This Row],[Lomitas - Barra A - 5.2 - Cerro]]+TBL_CalcDarwin[[#This Row],[Lomitas - Barra A - 5.2 - Medio]]+TBL_CalcDarwin[[#This Row],[Lomitas - Barra A - 5.2 - Mar]]</f>
        <v>25</v>
      </c>
      <c r="AP1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58" s="37">
        <f>TBL_CalcDarwin[[#This Row],[Expansión - Barra A - 5.2 - Cerro]]+TBL_CalcDarwin[[#This Row],[Expansión - Barra A - 5.2 - Medio]]+TBL_CalcDarwin[[#This Row],[Expansión - Barra A - 5.2 - Mar]]</f>
        <v>2</v>
      </c>
      <c r="AT158" s="37">
        <f>TBL_CalcDarwin[[#This Row],[Expansión - Barra B - 5.2 - Cerro]]</f>
        <v>1</v>
      </c>
      <c r="AU1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58" s="29">
        <f>TBL_CalcDarwin[[#This Row],[Expansión - Barra B - 5.2 - Cerro]]*TBL_CalcDarwin[[#This Row],[AEG 5.2 MW Cerro]]</f>
        <v>2.4089999999999998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5">
        <f t="shared" si="13"/>
        <v>45590.541666666293</v>
      </c>
      <c r="C159" s="17">
        <f t="shared" si="15"/>
        <v>6.5416666666666785</v>
      </c>
      <c r="D159" s="34">
        <f>TBL_CalcDarwin[[#This Row],[Darwin PLOM
MW]]+TBL_CalcDarwin[[#This Row],[Darwin PLOME
MW]]</f>
        <v>217.79000000000002</v>
      </c>
      <c r="E159" s="34">
        <f>TBL_CalcDarwin[[#This Row],[PLOM MW TOTAL BARRA A]]+TBL_CalcDarwin[[#This Row],[PLOM MW TOTAL BARRA B]]</f>
        <v>209.13000000000002</v>
      </c>
      <c r="F159" s="34">
        <f>TBL_CalcDarwin[[#This Row],[PLOME MW TOTAL BARRA A]]+TBL_CalcDarwin[[#This Row],[PLOME MW TOTAL BARRA B]]</f>
        <v>8.66</v>
      </c>
      <c r="G159" s="48">
        <f>'Plantilla Datos'!D164</f>
        <v>8.6999999999999993</v>
      </c>
      <c r="H159" s="48">
        <f>'Plantilla Datos'!E164</f>
        <v>10.8</v>
      </c>
      <c r="I159" s="49">
        <f>'Plantilla Datos'!F164</f>
        <v>18.5</v>
      </c>
      <c r="J159" s="47">
        <f>CEILING('Plantilla Datos'!$L$3*TBL_CalcDarwin[[#This Row],[Darwin Gusts
m/s]],0.5)</f>
        <v>8</v>
      </c>
      <c r="K159" s="47">
        <f>CEILING('Plantilla Datos'!$L$4*TBL_CalcDarwin[[#This Row],[Darwin Gusts
m/s]],0.5)</f>
        <v>9.5</v>
      </c>
      <c r="L159" s="47">
        <f>CEILING(TBL_CalcDarwin[[#This Row],[Darwin Gusts
m/s]],0.5)</f>
        <v>11</v>
      </c>
      <c r="M1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1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59" s="41">
        <f>INDEX(Curva_Temp[Temp],MATCH(TBL_CalcDarwin[[#This Row],[Darwin Temp.
°C]],Curva_Temp[Temp]))</f>
        <v>15</v>
      </c>
      <c r="R159" s="41">
        <f>INDEX(Curva_Temp[Warranted Power Curve for 
1.194Kg/m3 air density '[kW']
SG 5.0-145 (AM+1, 5.2MW) AT 
90M],MATCH(TBL_CalcDarwin[[#This Row],[Darwin Temp.
°C]],Curva_Temp[Temp]))</f>
        <v>5200</v>
      </c>
      <c r="S159" s="41" cm="1">
        <f t="array" ref="S159">INDEX(Curva_Temp[Temp],MATCH(TBL_CalcDarwin[[#This Row],[Darwin Temp.
°C]],Curva_Temp[Temp])+1)</f>
        <v>20</v>
      </c>
      <c r="T159" s="41" cm="1">
        <f t="array" ref="T159">INDEX(Curva_Temp[Warranted Power Curve for 
1.194Kg/m3 air density '[kW']
SG 5.0-145 (AM+1, 5.2MW) AT 
90M],MATCH(TBL_CalcDarwin[[#This Row],[Darwin Temp.
°C]],Curva_Temp[Temp])+1)</f>
        <v>5000</v>
      </c>
      <c r="U1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59" s="41">
        <f>INDEX(Curva_Temp[Temp],MATCH(TBL_CalcDarwin[[#This Row],[Darwin Temp.
°C]],Curva_Temp[Temp]))</f>
        <v>15</v>
      </c>
      <c r="Z159" s="41">
        <f>INDEX(Curva_Temp[Warranted Power Curve for 
1.194Kg/m3 air density '[kW']
SG 5.0-145 (AM 0, 5.0MW) AT 
90M],MATCH(TBL_CalcDarwin[[#This Row],[Darwin Temp.
°C]],Curva_Temp[Temp]))</f>
        <v>5000</v>
      </c>
      <c r="AA159" s="41" cm="1">
        <f t="array" ref="AA159">INDEX(Curva_Temp[Temp],MATCH(TBL_CalcDarwin[[#This Row],[Darwin Temp.
°C]],Curva_Temp[Temp])+1)</f>
        <v>20</v>
      </c>
      <c r="AB159" s="41" cm="1">
        <f t="array" ref="AB159">INDEX(Curva_Temp[Warranted Power Curve for 
1.194Kg/m3 air density '[kW']
SG 5.0-145 (AM 0, 5.0MW) AT 
90M],MATCH(TBL_CalcDarwin[[#This Row],[Darwin Temp.
°C]],Curva_Temp[Temp])+1)</f>
        <v>5000</v>
      </c>
      <c r="AC159" s="45">
        <f>HLOOKUP(TBL_CalcDarwin[[#This Row],[Fecha]],'Plantilla AEG ES'!$E$1:$HX$13,2,FALSE)</f>
        <v>5</v>
      </c>
      <c r="AD159" s="45">
        <f>HLOOKUP(TBL_CalcDarwin[[#This Row],[Fecha]],'Plantilla AEG ES'!$E$1:$HX$13,3,FALSE)</f>
        <v>8</v>
      </c>
      <c r="AE159" s="45">
        <f>HLOOKUP(TBL_CalcDarwin[[#This Row],[Fecha]],'Plantilla AEG ES'!$E$1:$HX$13,4,FALSE)</f>
        <v>12</v>
      </c>
      <c r="AF159" s="45">
        <f>HLOOKUP(TBL_CalcDarwin[[#This Row],[Fecha]],'Plantilla AEG ES'!$E$1:$HX$13,5,FALSE)</f>
        <v>1</v>
      </c>
      <c r="AG159" s="45">
        <f>HLOOKUP(TBL_CalcDarwin[[#This Row],[Fecha]],'Plantilla AEG ES'!$E$1:$HX$13,6,FALSE)</f>
        <v>1</v>
      </c>
      <c r="AH159" s="45">
        <f>HLOOKUP(TBL_CalcDarwin[[#This Row],[Fecha]],'Plantilla AEG ES'!$E$1:$HX$13,7,FALSE)</f>
        <v>0</v>
      </c>
      <c r="AI159" s="46">
        <f>HLOOKUP(TBL_CalcDarwin[[#This Row],[Fecha]],'Plantilla AEG ES'!$E$1:$HX$13,8,FALSE)</f>
        <v>0</v>
      </c>
      <c r="AJ159" s="46">
        <f>HLOOKUP(TBL_CalcDarwin[[#This Row],[Fecha]],'Plantilla AEG ES'!$E$1:$HX$13,9,FALSE)</f>
        <v>3</v>
      </c>
      <c r="AK159" s="46">
        <f>HLOOKUP(TBL_CalcDarwin[[#This Row],[Fecha]],'Plantilla AEG ES'!$E$1:$HX$13,10,FALSE)</f>
        <v>12</v>
      </c>
      <c r="AL159" s="46">
        <f>HLOOKUP(TBL_CalcDarwin[[#This Row],[Fecha]],'Plantilla AEG ES'!$E$1:$HX$13,11,FALSE)</f>
        <v>1</v>
      </c>
      <c r="AM159" s="46">
        <f>HLOOKUP(TBL_CalcDarwin[[#This Row],[Fecha]],'Plantilla AEG ES'!$E$1:$HX$13,12,FALSE)</f>
        <v>7</v>
      </c>
      <c r="AN159" s="46">
        <f>HLOOKUP(TBL_CalcDarwin[[#This Row],[Fecha]],'Plantilla AEG ES'!$E$1:$HX$13,13,FALSE)</f>
        <v>1</v>
      </c>
      <c r="AO159" s="37">
        <f>TBL_CalcDarwin[[#This Row],[Lomitas - Barra A - 5.2 - Cerro]]+TBL_CalcDarwin[[#This Row],[Lomitas - Barra A - 5.2 - Medio]]+TBL_CalcDarwin[[#This Row],[Lomitas - Barra A - 5.2 - Mar]]</f>
        <v>25</v>
      </c>
      <c r="AP1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59" s="37">
        <f>TBL_CalcDarwin[[#This Row],[Expansión - Barra A - 5.2 - Cerro]]+TBL_CalcDarwin[[#This Row],[Expansión - Barra A - 5.2 - Medio]]+TBL_CalcDarwin[[#This Row],[Expansión - Barra A - 5.2 - Mar]]</f>
        <v>2</v>
      </c>
      <c r="AT159" s="37">
        <f>TBL_CalcDarwin[[#This Row],[Expansión - Barra B - 5.2 - Cerro]]</f>
        <v>1</v>
      </c>
      <c r="AU1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59" s="29">
        <f>TBL_CalcDarwin[[#This Row],[Expansión - Barra B - 5.2 - Cerro]]*TBL_CalcDarwin[[#This Row],[AEG 5.2 MW Cerro]]</f>
        <v>2.4089999999999998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5">
        <f t="shared" si="13"/>
        <v>45590.583333332957</v>
      </c>
      <c r="C160" s="17">
        <f t="shared" si="15"/>
        <v>6.5833333333333455</v>
      </c>
      <c r="D160" s="34">
        <f>TBL_CalcDarwin[[#This Row],[Darwin PLOM
MW]]+TBL_CalcDarwin[[#This Row],[Darwin PLOME
MW]]</f>
        <v>217.79000000000002</v>
      </c>
      <c r="E160" s="34">
        <f>TBL_CalcDarwin[[#This Row],[PLOM MW TOTAL BARRA A]]+TBL_CalcDarwin[[#This Row],[PLOM MW TOTAL BARRA B]]</f>
        <v>209.13000000000002</v>
      </c>
      <c r="F160" s="34">
        <f>TBL_CalcDarwin[[#This Row],[PLOME MW TOTAL BARRA A]]+TBL_CalcDarwin[[#This Row],[PLOME MW TOTAL BARRA B]]</f>
        <v>8.66</v>
      </c>
      <c r="G160" s="48">
        <f>'Plantilla Datos'!D165</f>
        <v>8.8000000000000007</v>
      </c>
      <c r="H160" s="48">
        <f>'Plantilla Datos'!E165</f>
        <v>11</v>
      </c>
      <c r="I160" s="49">
        <f>'Plantilla Datos'!F165</f>
        <v>18.100000000000001</v>
      </c>
      <c r="J160" s="47">
        <f>CEILING('Plantilla Datos'!$L$3*TBL_CalcDarwin[[#This Row],[Darwin Gusts
m/s]],0.5)</f>
        <v>8</v>
      </c>
      <c r="K160" s="47">
        <f>CEILING('Plantilla Datos'!$L$4*TBL_CalcDarwin[[#This Row],[Darwin Gusts
m/s]],0.5)</f>
        <v>9.5</v>
      </c>
      <c r="L160" s="47">
        <f>CEILING(TBL_CalcDarwin[[#This Row],[Darwin Gusts
m/s]],0.5)</f>
        <v>11</v>
      </c>
      <c r="M1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1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60" s="41">
        <f>INDEX(Curva_Temp[Temp],MATCH(TBL_CalcDarwin[[#This Row],[Darwin Temp.
°C]],Curva_Temp[Temp]))</f>
        <v>15</v>
      </c>
      <c r="R160" s="41">
        <f>INDEX(Curva_Temp[Warranted Power Curve for 
1.194Kg/m3 air density '[kW']
SG 5.0-145 (AM+1, 5.2MW) AT 
90M],MATCH(TBL_CalcDarwin[[#This Row],[Darwin Temp.
°C]],Curva_Temp[Temp]))</f>
        <v>5200</v>
      </c>
      <c r="S160" s="41" cm="1">
        <f t="array" ref="S160">INDEX(Curva_Temp[Temp],MATCH(TBL_CalcDarwin[[#This Row],[Darwin Temp.
°C]],Curva_Temp[Temp])+1)</f>
        <v>20</v>
      </c>
      <c r="T160" s="41" cm="1">
        <f t="array" ref="T160">INDEX(Curva_Temp[Warranted Power Curve for 
1.194Kg/m3 air density '[kW']
SG 5.0-145 (AM+1, 5.2MW) AT 
90M],MATCH(TBL_CalcDarwin[[#This Row],[Darwin Temp.
°C]],Curva_Temp[Temp])+1)</f>
        <v>5000</v>
      </c>
      <c r="U1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60" s="41">
        <f>INDEX(Curva_Temp[Temp],MATCH(TBL_CalcDarwin[[#This Row],[Darwin Temp.
°C]],Curva_Temp[Temp]))</f>
        <v>15</v>
      </c>
      <c r="Z160" s="41">
        <f>INDEX(Curva_Temp[Warranted Power Curve for 
1.194Kg/m3 air density '[kW']
SG 5.0-145 (AM 0, 5.0MW) AT 
90M],MATCH(TBL_CalcDarwin[[#This Row],[Darwin Temp.
°C]],Curva_Temp[Temp]))</f>
        <v>5000</v>
      </c>
      <c r="AA160" s="41" cm="1">
        <f t="array" ref="AA160">INDEX(Curva_Temp[Temp],MATCH(TBL_CalcDarwin[[#This Row],[Darwin Temp.
°C]],Curva_Temp[Temp])+1)</f>
        <v>20</v>
      </c>
      <c r="AB160" s="41" cm="1">
        <f t="array" ref="AB160">INDEX(Curva_Temp[Warranted Power Curve for 
1.194Kg/m3 air density '[kW']
SG 5.0-145 (AM 0, 5.0MW) AT 
90M],MATCH(TBL_CalcDarwin[[#This Row],[Darwin Temp.
°C]],Curva_Temp[Temp])+1)</f>
        <v>5000</v>
      </c>
      <c r="AC160" s="45">
        <f>HLOOKUP(TBL_CalcDarwin[[#This Row],[Fecha]],'Plantilla AEG ES'!$E$1:$HX$13,2,FALSE)</f>
        <v>5</v>
      </c>
      <c r="AD160" s="45">
        <f>HLOOKUP(TBL_CalcDarwin[[#This Row],[Fecha]],'Plantilla AEG ES'!$E$1:$HX$13,3,FALSE)</f>
        <v>8</v>
      </c>
      <c r="AE160" s="45">
        <f>HLOOKUP(TBL_CalcDarwin[[#This Row],[Fecha]],'Plantilla AEG ES'!$E$1:$HX$13,4,FALSE)</f>
        <v>12</v>
      </c>
      <c r="AF160" s="45">
        <f>HLOOKUP(TBL_CalcDarwin[[#This Row],[Fecha]],'Plantilla AEG ES'!$E$1:$HX$13,5,FALSE)</f>
        <v>1</v>
      </c>
      <c r="AG160" s="45">
        <f>HLOOKUP(TBL_CalcDarwin[[#This Row],[Fecha]],'Plantilla AEG ES'!$E$1:$HX$13,6,FALSE)</f>
        <v>1</v>
      </c>
      <c r="AH160" s="45">
        <f>HLOOKUP(TBL_CalcDarwin[[#This Row],[Fecha]],'Plantilla AEG ES'!$E$1:$HX$13,7,FALSE)</f>
        <v>0</v>
      </c>
      <c r="AI160" s="46">
        <f>HLOOKUP(TBL_CalcDarwin[[#This Row],[Fecha]],'Plantilla AEG ES'!$E$1:$HX$13,8,FALSE)</f>
        <v>0</v>
      </c>
      <c r="AJ160" s="46">
        <f>HLOOKUP(TBL_CalcDarwin[[#This Row],[Fecha]],'Plantilla AEG ES'!$E$1:$HX$13,9,FALSE)</f>
        <v>3</v>
      </c>
      <c r="AK160" s="46">
        <f>HLOOKUP(TBL_CalcDarwin[[#This Row],[Fecha]],'Plantilla AEG ES'!$E$1:$HX$13,10,FALSE)</f>
        <v>12</v>
      </c>
      <c r="AL160" s="46">
        <f>HLOOKUP(TBL_CalcDarwin[[#This Row],[Fecha]],'Plantilla AEG ES'!$E$1:$HX$13,11,FALSE)</f>
        <v>1</v>
      </c>
      <c r="AM160" s="46">
        <f>HLOOKUP(TBL_CalcDarwin[[#This Row],[Fecha]],'Plantilla AEG ES'!$E$1:$HX$13,12,FALSE)</f>
        <v>7</v>
      </c>
      <c r="AN160" s="46">
        <f>HLOOKUP(TBL_CalcDarwin[[#This Row],[Fecha]],'Plantilla AEG ES'!$E$1:$HX$13,13,FALSE)</f>
        <v>1</v>
      </c>
      <c r="AO160" s="37">
        <f>TBL_CalcDarwin[[#This Row],[Lomitas - Barra A - 5.2 - Cerro]]+TBL_CalcDarwin[[#This Row],[Lomitas - Barra A - 5.2 - Medio]]+TBL_CalcDarwin[[#This Row],[Lomitas - Barra A - 5.2 - Mar]]</f>
        <v>25</v>
      </c>
      <c r="AP1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60" s="37">
        <f>TBL_CalcDarwin[[#This Row],[Expansión - Barra A - 5.2 - Cerro]]+TBL_CalcDarwin[[#This Row],[Expansión - Barra A - 5.2 - Medio]]+TBL_CalcDarwin[[#This Row],[Expansión - Barra A - 5.2 - Mar]]</f>
        <v>2</v>
      </c>
      <c r="AT160" s="37">
        <f>TBL_CalcDarwin[[#This Row],[Expansión - Barra B - 5.2 - Cerro]]</f>
        <v>1</v>
      </c>
      <c r="AU1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60" s="29">
        <f>TBL_CalcDarwin[[#This Row],[Expansión - Barra B - 5.2 - Cerro]]*TBL_CalcDarwin[[#This Row],[AEG 5.2 MW Cerro]]</f>
        <v>2.4089999999999998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5">
        <f t="shared" si="13"/>
        <v>45590.624999999622</v>
      </c>
      <c r="C161" s="17">
        <f t="shared" si="15"/>
        <v>6.6250000000000124</v>
      </c>
      <c r="D161" s="34">
        <f>TBL_CalcDarwin[[#This Row],[Darwin PLOM
MW]]+TBL_CalcDarwin[[#This Row],[Darwin PLOME
MW]]</f>
        <v>225.66800000000001</v>
      </c>
      <c r="E161" s="34">
        <f>TBL_CalcDarwin[[#This Row],[PLOM MW TOTAL BARRA A]]+TBL_CalcDarwin[[#This Row],[PLOM MW TOTAL BARRA B]]</f>
        <v>216.07</v>
      </c>
      <c r="F161" s="34">
        <f>TBL_CalcDarwin[[#This Row],[PLOME MW TOTAL BARRA A]]+TBL_CalcDarwin[[#This Row],[PLOME MW TOTAL BARRA B]]</f>
        <v>9.5980000000000008</v>
      </c>
      <c r="G161" s="48">
        <f>'Plantilla Datos'!D166</f>
        <v>8.9</v>
      </c>
      <c r="H161" s="48">
        <f>'Plantilla Datos'!E166</f>
        <v>11.1</v>
      </c>
      <c r="I161" s="49">
        <f>'Plantilla Datos'!F166</f>
        <v>17.8</v>
      </c>
      <c r="J161" s="47">
        <f>CEILING('Plantilla Datos'!$L$3*TBL_CalcDarwin[[#This Row],[Darwin Gusts
m/s]],0.5)</f>
        <v>8.5</v>
      </c>
      <c r="K161" s="47">
        <f>CEILING('Plantilla Datos'!$L$4*TBL_CalcDarwin[[#This Row],[Darwin Gusts
m/s]],0.5)</f>
        <v>9.5</v>
      </c>
      <c r="L161" s="47">
        <f>CEILING(TBL_CalcDarwin[[#This Row],[Darwin Gusts
m/s]],0.5)</f>
        <v>11.5</v>
      </c>
      <c r="M1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1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5.0880000000000001</v>
      </c>
      <c r="Q161" s="41">
        <f>INDEX(Curva_Temp[Temp],MATCH(TBL_CalcDarwin[[#This Row],[Darwin Temp.
°C]],Curva_Temp[Temp]))</f>
        <v>15</v>
      </c>
      <c r="R161" s="41">
        <f>INDEX(Curva_Temp[Warranted Power Curve for 
1.194Kg/m3 air density '[kW']
SG 5.0-145 (AM+1, 5.2MW) AT 
90M],MATCH(TBL_CalcDarwin[[#This Row],[Darwin Temp.
°C]],Curva_Temp[Temp]))</f>
        <v>5200</v>
      </c>
      <c r="S161" s="41" cm="1">
        <f t="array" ref="S161">INDEX(Curva_Temp[Temp],MATCH(TBL_CalcDarwin[[#This Row],[Darwin Temp.
°C]],Curva_Temp[Temp])+1)</f>
        <v>20</v>
      </c>
      <c r="T161" s="41" cm="1">
        <f t="array" ref="T161">INDEX(Curva_Temp[Warranted Power Curve for 
1.194Kg/m3 air density '[kW']
SG 5.0-145 (AM+1, 5.2MW) AT 
90M],MATCH(TBL_CalcDarwin[[#This Row],[Darwin Temp.
°C]],Curva_Temp[Temp])+1)</f>
        <v>5000</v>
      </c>
      <c r="U1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61" s="41">
        <f>INDEX(Curva_Temp[Temp],MATCH(TBL_CalcDarwin[[#This Row],[Darwin Temp.
°C]],Curva_Temp[Temp]))</f>
        <v>15</v>
      </c>
      <c r="Z161" s="41">
        <f>INDEX(Curva_Temp[Warranted Power Curve for 
1.194Kg/m3 air density '[kW']
SG 5.0-145 (AM 0, 5.0MW) AT 
90M],MATCH(TBL_CalcDarwin[[#This Row],[Darwin Temp.
°C]],Curva_Temp[Temp]))</f>
        <v>5000</v>
      </c>
      <c r="AA161" s="41" cm="1">
        <f t="array" ref="AA161">INDEX(Curva_Temp[Temp],MATCH(TBL_CalcDarwin[[#This Row],[Darwin Temp.
°C]],Curva_Temp[Temp])+1)</f>
        <v>20</v>
      </c>
      <c r="AB161" s="41" cm="1">
        <f t="array" ref="AB161">INDEX(Curva_Temp[Warranted Power Curve for 
1.194Kg/m3 air density '[kW']
SG 5.0-145 (AM 0, 5.0MW) AT 
90M],MATCH(TBL_CalcDarwin[[#This Row],[Darwin Temp.
°C]],Curva_Temp[Temp])+1)</f>
        <v>5000</v>
      </c>
      <c r="AC161" s="45">
        <f>HLOOKUP(TBL_CalcDarwin[[#This Row],[Fecha]],'Plantilla AEG ES'!$E$1:$HX$13,2,FALSE)</f>
        <v>5</v>
      </c>
      <c r="AD161" s="45">
        <f>HLOOKUP(TBL_CalcDarwin[[#This Row],[Fecha]],'Plantilla AEG ES'!$E$1:$HX$13,3,FALSE)</f>
        <v>8</v>
      </c>
      <c r="AE161" s="45">
        <f>HLOOKUP(TBL_CalcDarwin[[#This Row],[Fecha]],'Plantilla AEG ES'!$E$1:$HX$13,4,FALSE)</f>
        <v>12</v>
      </c>
      <c r="AF161" s="45">
        <f>HLOOKUP(TBL_CalcDarwin[[#This Row],[Fecha]],'Plantilla AEG ES'!$E$1:$HX$13,5,FALSE)</f>
        <v>1</v>
      </c>
      <c r="AG161" s="45">
        <f>HLOOKUP(TBL_CalcDarwin[[#This Row],[Fecha]],'Plantilla AEG ES'!$E$1:$HX$13,6,FALSE)</f>
        <v>1</v>
      </c>
      <c r="AH161" s="45">
        <f>HLOOKUP(TBL_CalcDarwin[[#This Row],[Fecha]],'Plantilla AEG ES'!$E$1:$HX$13,7,FALSE)</f>
        <v>0</v>
      </c>
      <c r="AI161" s="46">
        <f>HLOOKUP(TBL_CalcDarwin[[#This Row],[Fecha]],'Plantilla AEG ES'!$E$1:$HX$13,8,FALSE)</f>
        <v>0</v>
      </c>
      <c r="AJ161" s="46">
        <f>HLOOKUP(TBL_CalcDarwin[[#This Row],[Fecha]],'Plantilla AEG ES'!$E$1:$HX$13,9,FALSE)</f>
        <v>3</v>
      </c>
      <c r="AK161" s="46">
        <f>HLOOKUP(TBL_CalcDarwin[[#This Row],[Fecha]],'Plantilla AEG ES'!$E$1:$HX$13,10,FALSE)</f>
        <v>12</v>
      </c>
      <c r="AL161" s="46">
        <f>HLOOKUP(TBL_CalcDarwin[[#This Row],[Fecha]],'Plantilla AEG ES'!$E$1:$HX$13,11,FALSE)</f>
        <v>1</v>
      </c>
      <c r="AM161" s="46">
        <f>HLOOKUP(TBL_CalcDarwin[[#This Row],[Fecha]],'Plantilla AEG ES'!$E$1:$HX$13,12,FALSE)</f>
        <v>7</v>
      </c>
      <c r="AN161" s="46">
        <f>HLOOKUP(TBL_CalcDarwin[[#This Row],[Fecha]],'Plantilla AEG ES'!$E$1:$HX$13,13,FALSE)</f>
        <v>1</v>
      </c>
      <c r="AO161" s="37">
        <f>TBL_CalcDarwin[[#This Row],[Lomitas - Barra A - 5.2 - Cerro]]+TBL_CalcDarwin[[#This Row],[Lomitas - Barra A - 5.2 - Medio]]+TBL_CalcDarwin[[#This Row],[Lomitas - Barra A - 5.2 - Mar]]</f>
        <v>25</v>
      </c>
      <c r="AP1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106.182</v>
      </c>
      <c r="AR1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109.88799999999999</v>
      </c>
      <c r="AS161" s="37">
        <f>TBL_CalcDarwin[[#This Row],[Expansión - Barra A - 5.2 - Cerro]]+TBL_CalcDarwin[[#This Row],[Expansión - Barra A - 5.2 - Medio]]+TBL_CalcDarwin[[#This Row],[Expansión - Barra A - 5.2 - Mar]]</f>
        <v>2</v>
      </c>
      <c r="AT161" s="37">
        <f>TBL_CalcDarwin[[#This Row],[Expansión - Barra B - 5.2 - Cerro]]</f>
        <v>1</v>
      </c>
      <c r="AU1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161" s="29">
        <f>TBL_CalcDarwin[[#This Row],[Expansión - Barra B - 5.2 - Cerro]]*TBL_CalcDarwin[[#This Row],[AEG 5.2 MW Cerro]]</f>
        <v>2.8780000000000001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5">
        <f t="shared" si="13"/>
        <v>45590.666666666286</v>
      </c>
      <c r="C162" s="17">
        <f t="shared" si="15"/>
        <v>6.6666666666666794</v>
      </c>
      <c r="D162" s="34">
        <f>TBL_CalcDarwin[[#This Row],[Darwin PLOM
MW]]+TBL_CalcDarwin[[#This Row],[Darwin PLOME
MW]]</f>
        <v>231.35599999999999</v>
      </c>
      <c r="E162" s="34">
        <f>TBL_CalcDarwin[[#This Row],[PLOM MW TOTAL BARRA A]]+TBL_CalcDarwin[[#This Row],[PLOM MW TOTAL BARRA B]]</f>
        <v>221.316</v>
      </c>
      <c r="F162" s="34">
        <f>TBL_CalcDarwin[[#This Row],[PLOME MW TOTAL BARRA A]]+TBL_CalcDarwin[[#This Row],[PLOME MW TOTAL BARRA B]]</f>
        <v>10.039999999999999</v>
      </c>
      <c r="G162" s="48">
        <f>'Plantilla Datos'!D167</f>
        <v>9.1</v>
      </c>
      <c r="H162" s="48">
        <f>'Plantilla Datos'!E167</f>
        <v>11.3</v>
      </c>
      <c r="I162" s="49">
        <f>'Plantilla Datos'!F167</f>
        <v>17.399999999999999</v>
      </c>
      <c r="J162" s="47">
        <f>CEILING('Plantilla Datos'!$L$3*TBL_CalcDarwin[[#This Row],[Darwin Gusts
m/s]],0.5)</f>
        <v>8.5</v>
      </c>
      <c r="K162" s="47">
        <f>CEILING('Plantilla Datos'!$L$4*TBL_CalcDarwin[[#This Row],[Darwin Gusts
m/s]],0.5)</f>
        <v>10</v>
      </c>
      <c r="L162" s="47">
        <f>CEILING(TBL_CalcDarwin[[#This Row],[Darwin Gusts
m/s]],0.5)</f>
        <v>11.5</v>
      </c>
      <c r="M1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5.1040000000000001</v>
      </c>
      <c r="Q162" s="41">
        <f>INDEX(Curva_Temp[Temp],MATCH(TBL_CalcDarwin[[#This Row],[Darwin Temp.
°C]],Curva_Temp[Temp]))</f>
        <v>15</v>
      </c>
      <c r="R162" s="41">
        <f>INDEX(Curva_Temp[Warranted Power Curve for 
1.194Kg/m3 air density '[kW']
SG 5.0-145 (AM+1, 5.2MW) AT 
90M],MATCH(TBL_CalcDarwin[[#This Row],[Darwin Temp.
°C]],Curva_Temp[Temp]))</f>
        <v>5200</v>
      </c>
      <c r="S162" s="41" cm="1">
        <f t="array" ref="S162">INDEX(Curva_Temp[Temp],MATCH(TBL_CalcDarwin[[#This Row],[Darwin Temp.
°C]],Curva_Temp[Temp])+1)</f>
        <v>20</v>
      </c>
      <c r="T162" s="41" cm="1">
        <f t="array" ref="T162">INDEX(Curva_Temp[Warranted Power Curve for 
1.194Kg/m3 air density '[kW']
SG 5.0-145 (AM+1, 5.2MW) AT 
90M],MATCH(TBL_CalcDarwin[[#This Row],[Darwin Temp.
°C]],Curva_Temp[Temp])+1)</f>
        <v>5000</v>
      </c>
      <c r="U1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62" s="41">
        <f>INDEX(Curva_Temp[Temp],MATCH(TBL_CalcDarwin[[#This Row],[Darwin Temp.
°C]],Curva_Temp[Temp]))</f>
        <v>15</v>
      </c>
      <c r="Z162" s="41">
        <f>INDEX(Curva_Temp[Warranted Power Curve for 
1.194Kg/m3 air density '[kW']
SG 5.0-145 (AM 0, 5.0MW) AT 
90M],MATCH(TBL_CalcDarwin[[#This Row],[Darwin Temp.
°C]],Curva_Temp[Temp]))</f>
        <v>5000</v>
      </c>
      <c r="AA162" s="41" cm="1">
        <f t="array" ref="AA162">INDEX(Curva_Temp[Temp],MATCH(TBL_CalcDarwin[[#This Row],[Darwin Temp.
°C]],Curva_Temp[Temp])+1)</f>
        <v>20</v>
      </c>
      <c r="AB162" s="41" cm="1">
        <f t="array" ref="AB162">INDEX(Curva_Temp[Warranted Power Curve for 
1.194Kg/m3 air density '[kW']
SG 5.0-145 (AM 0, 5.0MW) AT 
90M],MATCH(TBL_CalcDarwin[[#This Row],[Darwin Temp.
°C]],Curva_Temp[Temp])+1)</f>
        <v>5000</v>
      </c>
      <c r="AC162" s="45">
        <f>HLOOKUP(TBL_CalcDarwin[[#This Row],[Fecha]],'Plantilla AEG ES'!$E$1:$HX$13,2,FALSE)</f>
        <v>5</v>
      </c>
      <c r="AD162" s="45">
        <f>HLOOKUP(TBL_CalcDarwin[[#This Row],[Fecha]],'Plantilla AEG ES'!$E$1:$HX$13,3,FALSE)</f>
        <v>8</v>
      </c>
      <c r="AE162" s="45">
        <f>HLOOKUP(TBL_CalcDarwin[[#This Row],[Fecha]],'Plantilla AEG ES'!$E$1:$HX$13,4,FALSE)</f>
        <v>12</v>
      </c>
      <c r="AF162" s="45">
        <f>HLOOKUP(TBL_CalcDarwin[[#This Row],[Fecha]],'Plantilla AEG ES'!$E$1:$HX$13,5,FALSE)</f>
        <v>1</v>
      </c>
      <c r="AG162" s="45">
        <f>HLOOKUP(TBL_CalcDarwin[[#This Row],[Fecha]],'Plantilla AEG ES'!$E$1:$HX$13,6,FALSE)</f>
        <v>1</v>
      </c>
      <c r="AH162" s="45">
        <f>HLOOKUP(TBL_CalcDarwin[[#This Row],[Fecha]],'Plantilla AEG ES'!$E$1:$HX$13,7,FALSE)</f>
        <v>0</v>
      </c>
      <c r="AI162" s="46">
        <f>HLOOKUP(TBL_CalcDarwin[[#This Row],[Fecha]],'Plantilla AEG ES'!$E$1:$HX$13,8,FALSE)</f>
        <v>0</v>
      </c>
      <c r="AJ162" s="46">
        <f>HLOOKUP(TBL_CalcDarwin[[#This Row],[Fecha]],'Plantilla AEG ES'!$E$1:$HX$13,9,FALSE)</f>
        <v>3</v>
      </c>
      <c r="AK162" s="46">
        <f>HLOOKUP(TBL_CalcDarwin[[#This Row],[Fecha]],'Plantilla AEG ES'!$E$1:$HX$13,10,FALSE)</f>
        <v>12</v>
      </c>
      <c r="AL162" s="46">
        <f>HLOOKUP(TBL_CalcDarwin[[#This Row],[Fecha]],'Plantilla AEG ES'!$E$1:$HX$13,11,FALSE)</f>
        <v>1</v>
      </c>
      <c r="AM162" s="46">
        <f>HLOOKUP(TBL_CalcDarwin[[#This Row],[Fecha]],'Plantilla AEG ES'!$E$1:$HX$13,12,FALSE)</f>
        <v>7</v>
      </c>
      <c r="AN162" s="46">
        <f>HLOOKUP(TBL_CalcDarwin[[#This Row],[Fecha]],'Plantilla AEG ES'!$E$1:$HX$13,13,FALSE)</f>
        <v>1</v>
      </c>
      <c r="AO162" s="37">
        <f>TBL_CalcDarwin[[#This Row],[Lomitas - Barra A - 5.2 - Cerro]]+TBL_CalcDarwin[[#This Row],[Lomitas - Barra A - 5.2 - Medio]]+TBL_CalcDarwin[[#This Row],[Lomitas - Barra A - 5.2 - Mar]]</f>
        <v>25</v>
      </c>
      <c r="AP1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109.91</v>
      </c>
      <c r="AR1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111.40600000000001</v>
      </c>
      <c r="AS162" s="37">
        <f>TBL_CalcDarwin[[#This Row],[Expansión - Barra A - 5.2 - Cerro]]+TBL_CalcDarwin[[#This Row],[Expansión - Barra A - 5.2 - Medio]]+TBL_CalcDarwin[[#This Row],[Expansión - Barra A - 5.2 - Mar]]</f>
        <v>2</v>
      </c>
      <c r="AT162" s="37">
        <f>TBL_CalcDarwin[[#This Row],[Expansión - Barra B - 5.2 - Cerro]]</f>
        <v>1</v>
      </c>
      <c r="AU1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62" s="29">
        <f>TBL_CalcDarwin[[#This Row],[Expansión - Barra B - 5.2 - Cerro]]*TBL_CalcDarwin[[#This Row],[AEG 5.2 MW Cerro]]</f>
        <v>2.8780000000000001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5">
        <f t="shared" si="13"/>
        <v>45590.70833333295</v>
      </c>
      <c r="C163" s="17">
        <f t="shared" si="15"/>
        <v>6.7083333333333464</v>
      </c>
      <c r="D163" s="34">
        <f>TBL_CalcDarwin[[#This Row],[Darwin PLOM
MW]]+TBL_CalcDarwin[[#This Row],[Darwin PLOME
MW]]</f>
        <v>231.73999999999998</v>
      </c>
      <c r="E163" s="34">
        <f>TBL_CalcDarwin[[#This Row],[PLOM MW TOTAL BARRA A]]+TBL_CalcDarwin[[#This Row],[PLOM MW TOTAL BARRA B]]</f>
        <v>221.7</v>
      </c>
      <c r="F163" s="34">
        <f>TBL_CalcDarwin[[#This Row],[PLOME MW TOTAL BARRA A]]+TBL_CalcDarwin[[#This Row],[PLOME MW TOTAL BARRA B]]</f>
        <v>10.039999999999999</v>
      </c>
      <c r="G163" s="48">
        <f>'Plantilla Datos'!D168</f>
        <v>9.1999999999999993</v>
      </c>
      <c r="H163" s="48">
        <f>'Plantilla Datos'!E168</f>
        <v>11.5</v>
      </c>
      <c r="I163" s="49">
        <f>'Plantilla Datos'!F168</f>
        <v>17</v>
      </c>
      <c r="J163" s="47">
        <f>CEILING('Plantilla Datos'!$L$3*TBL_CalcDarwin[[#This Row],[Darwin Gusts
m/s]],0.5)</f>
        <v>8.5</v>
      </c>
      <c r="K163" s="47">
        <f>CEILING('Plantilla Datos'!$L$4*TBL_CalcDarwin[[#This Row],[Darwin Gusts
m/s]],0.5)</f>
        <v>10</v>
      </c>
      <c r="L163" s="47">
        <f>CEILING(TBL_CalcDarwin[[#This Row],[Darwin Gusts
m/s]],0.5)</f>
        <v>11.5</v>
      </c>
      <c r="M1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</v>
      </c>
      <c r="Q163" s="41">
        <f>INDEX(Curva_Temp[Temp],MATCH(TBL_CalcDarwin[[#This Row],[Darwin Temp.
°C]],Curva_Temp[Temp]))</f>
        <v>15</v>
      </c>
      <c r="R163" s="41">
        <f>INDEX(Curva_Temp[Warranted Power Curve for 
1.194Kg/m3 air density '[kW']
SG 5.0-145 (AM+1, 5.2MW) AT 
90M],MATCH(TBL_CalcDarwin[[#This Row],[Darwin Temp.
°C]],Curva_Temp[Temp]))</f>
        <v>5200</v>
      </c>
      <c r="S163" s="41" cm="1">
        <f t="array" ref="S163">INDEX(Curva_Temp[Temp],MATCH(TBL_CalcDarwin[[#This Row],[Darwin Temp.
°C]],Curva_Temp[Temp])+1)</f>
        <v>20</v>
      </c>
      <c r="T163" s="41" cm="1">
        <f t="array" ref="T163">INDEX(Curva_Temp[Warranted Power Curve for 
1.194Kg/m3 air density '[kW']
SG 5.0-145 (AM+1, 5.2MW) AT 
90M],MATCH(TBL_CalcDarwin[[#This Row],[Darwin Temp.
°C]],Curva_Temp[Temp])+1)</f>
        <v>5000</v>
      </c>
      <c r="U1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63" s="41">
        <f>INDEX(Curva_Temp[Temp],MATCH(TBL_CalcDarwin[[#This Row],[Darwin Temp.
°C]],Curva_Temp[Temp]))</f>
        <v>15</v>
      </c>
      <c r="Z163" s="41">
        <f>INDEX(Curva_Temp[Warranted Power Curve for 
1.194Kg/m3 air density '[kW']
SG 5.0-145 (AM 0, 5.0MW) AT 
90M],MATCH(TBL_CalcDarwin[[#This Row],[Darwin Temp.
°C]],Curva_Temp[Temp]))</f>
        <v>5000</v>
      </c>
      <c r="AA163" s="41" cm="1">
        <f t="array" ref="AA163">INDEX(Curva_Temp[Temp],MATCH(TBL_CalcDarwin[[#This Row],[Darwin Temp.
°C]],Curva_Temp[Temp])+1)</f>
        <v>20</v>
      </c>
      <c r="AB163" s="41" cm="1">
        <f t="array" ref="AB163">INDEX(Curva_Temp[Warranted Power Curve for 
1.194Kg/m3 air density '[kW']
SG 5.0-145 (AM 0, 5.0MW) AT 
90M],MATCH(TBL_CalcDarwin[[#This Row],[Darwin Temp.
°C]],Curva_Temp[Temp])+1)</f>
        <v>5000</v>
      </c>
      <c r="AC163" s="45">
        <f>HLOOKUP(TBL_CalcDarwin[[#This Row],[Fecha]],'Plantilla AEG ES'!$E$1:$HX$13,2,FALSE)</f>
        <v>5</v>
      </c>
      <c r="AD163" s="45">
        <f>HLOOKUP(TBL_CalcDarwin[[#This Row],[Fecha]],'Plantilla AEG ES'!$E$1:$HX$13,3,FALSE)</f>
        <v>8</v>
      </c>
      <c r="AE163" s="45">
        <f>HLOOKUP(TBL_CalcDarwin[[#This Row],[Fecha]],'Plantilla AEG ES'!$E$1:$HX$13,4,FALSE)</f>
        <v>12</v>
      </c>
      <c r="AF163" s="45">
        <f>HLOOKUP(TBL_CalcDarwin[[#This Row],[Fecha]],'Plantilla AEG ES'!$E$1:$HX$13,5,FALSE)</f>
        <v>1</v>
      </c>
      <c r="AG163" s="45">
        <f>HLOOKUP(TBL_CalcDarwin[[#This Row],[Fecha]],'Plantilla AEG ES'!$E$1:$HX$13,6,FALSE)</f>
        <v>1</v>
      </c>
      <c r="AH163" s="45">
        <f>HLOOKUP(TBL_CalcDarwin[[#This Row],[Fecha]],'Plantilla AEG ES'!$E$1:$HX$13,7,FALSE)</f>
        <v>0</v>
      </c>
      <c r="AI163" s="46">
        <f>HLOOKUP(TBL_CalcDarwin[[#This Row],[Fecha]],'Plantilla AEG ES'!$E$1:$HX$13,8,FALSE)</f>
        <v>0</v>
      </c>
      <c r="AJ163" s="46">
        <f>HLOOKUP(TBL_CalcDarwin[[#This Row],[Fecha]],'Plantilla AEG ES'!$E$1:$HX$13,9,FALSE)</f>
        <v>3</v>
      </c>
      <c r="AK163" s="46">
        <f>HLOOKUP(TBL_CalcDarwin[[#This Row],[Fecha]],'Plantilla AEG ES'!$E$1:$HX$13,10,FALSE)</f>
        <v>12</v>
      </c>
      <c r="AL163" s="46">
        <f>HLOOKUP(TBL_CalcDarwin[[#This Row],[Fecha]],'Plantilla AEG ES'!$E$1:$HX$13,11,FALSE)</f>
        <v>1</v>
      </c>
      <c r="AM163" s="46">
        <f>HLOOKUP(TBL_CalcDarwin[[#This Row],[Fecha]],'Plantilla AEG ES'!$E$1:$HX$13,12,FALSE)</f>
        <v>7</v>
      </c>
      <c r="AN163" s="46">
        <f>HLOOKUP(TBL_CalcDarwin[[#This Row],[Fecha]],'Plantilla AEG ES'!$E$1:$HX$13,13,FALSE)</f>
        <v>1</v>
      </c>
      <c r="AO163" s="37">
        <f>TBL_CalcDarwin[[#This Row],[Lomitas - Barra A - 5.2 - Cerro]]+TBL_CalcDarwin[[#This Row],[Lomitas - Barra A - 5.2 - Medio]]+TBL_CalcDarwin[[#This Row],[Lomitas - Barra A - 5.2 - Mar]]</f>
        <v>25</v>
      </c>
      <c r="AP1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110.102</v>
      </c>
      <c r="AR1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111.598</v>
      </c>
      <c r="AS163" s="37">
        <f>TBL_CalcDarwin[[#This Row],[Expansión - Barra A - 5.2 - Cerro]]+TBL_CalcDarwin[[#This Row],[Expansión - Barra A - 5.2 - Medio]]+TBL_CalcDarwin[[#This Row],[Expansión - Barra A - 5.2 - Mar]]</f>
        <v>2</v>
      </c>
      <c r="AT163" s="37">
        <f>TBL_CalcDarwin[[#This Row],[Expansión - Barra B - 5.2 - Cerro]]</f>
        <v>1</v>
      </c>
      <c r="AU1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63" s="29">
        <f>TBL_CalcDarwin[[#This Row],[Expansión - Barra B - 5.2 - Cerro]]*TBL_CalcDarwin[[#This Row],[AEG 5.2 MW Cerro]]</f>
        <v>2.8780000000000001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5">
        <f t="shared" si="13"/>
        <v>45590.749999999614</v>
      </c>
      <c r="C164" s="17">
        <f t="shared" si="15"/>
        <v>6.7500000000000133</v>
      </c>
      <c r="D164" s="34">
        <f>TBL_CalcDarwin[[#This Row],[Darwin PLOM
MW]]+TBL_CalcDarwin[[#This Row],[Darwin PLOME
MW]]</f>
        <v>232.38499999999996</v>
      </c>
      <c r="E164" s="34">
        <f>TBL_CalcDarwin[[#This Row],[PLOM MW TOTAL BARRA A]]+TBL_CalcDarwin[[#This Row],[PLOM MW TOTAL BARRA B]]</f>
        <v>222.34499999999997</v>
      </c>
      <c r="F164" s="34">
        <f>TBL_CalcDarwin[[#This Row],[PLOME MW TOTAL BARRA A]]+TBL_CalcDarwin[[#This Row],[PLOME MW TOTAL BARRA B]]</f>
        <v>10.039999999999999</v>
      </c>
      <c r="G164" s="48">
        <f>'Plantilla Datos'!D169</f>
        <v>9.4</v>
      </c>
      <c r="H164" s="48">
        <f>'Plantilla Datos'!E169</f>
        <v>11.7</v>
      </c>
      <c r="I164" s="49">
        <f>'Plantilla Datos'!F169</f>
        <v>16.7</v>
      </c>
      <c r="J164" s="47">
        <f>CEILING('Plantilla Datos'!$L$3*TBL_CalcDarwin[[#This Row],[Darwin Gusts
m/s]],0.5)</f>
        <v>8.5</v>
      </c>
      <c r="K164" s="47">
        <f>CEILING('Plantilla Datos'!$L$4*TBL_CalcDarwin[[#This Row],[Darwin Gusts
m/s]],0.5)</f>
        <v>10</v>
      </c>
      <c r="L164" s="47">
        <f>CEILING(TBL_CalcDarwin[[#This Row],[Darwin Gusts
m/s]],0.5)</f>
        <v>12</v>
      </c>
      <c r="M1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5.1319999999999997</v>
      </c>
      <c r="Q164" s="41">
        <f>INDEX(Curva_Temp[Temp],MATCH(TBL_CalcDarwin[[#This Row],[Darwin Temp.
°C]],Curva_Temp[Temp]))</f>
        <v>15</v>
      </c>
      <c r="R164" s="41">
        <f>INDEX(Curva_Temp[Warranted Power Curve for 
1.194Kg/m3 air density '[kW']
SG 5.0-145 (AM+1, 5.2MW) AT 
90M],MATCH(TBL_CalcDarwin[[#This Row],[Darwin Temp.
°C]],Curva_Temp[Temp]))</f>
        <v>5200</v>
      </c>
      <c r="S164" s="41" cm="1">
        <f t="array" ref="S164">INDEX(Curva_Temp[Temp],MATCH(TBL_CalcDarwin[[#This Row],[Darwin Temp.
°C]],Curva_Temp[Temp])+1)</f>
        <v>20</v>
      </c>
      <c r="T164" s="41" cm="1">
        <f t="array" ref="T164">INDEX(Curva_Temp[Warranted Power Curve for 
1.194Kg/m3 air density '[kW']
SG 5.0-145 (AM+1, 5.2MW) AT 
90M],MATCH(TBL_CalcDarwin[[#This Row],[Darwin Temp.
°C]],Curva_Temp[Temp])+1)</f>
        <v>5000</v>
      </c>
      <c r="U1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64" s="41">
        <f>INDEX(Curva_Temp[Temp],MATCH(TBL_CalcDarwin[[#This Row],[Darwin Temp.
°C]],Curva_Temp[Temp]))</f>
        <v>15</v>
      </c>
      <c r="Z164" s="41">
        <f>INDEX(Curva_Temp[Warranted Power Curve for 
1.194Kg/m3 air density '[kW']
SG 5.0-145 (AM 0, 5.0MW) AT 
90M],MATCH(TBL_CalcDarwin[[#This Row],[Darwin Temp.
°C]],Curva_Temp[Temp]))</f>
        <v>5000</v>
      </c>
      <c r="AA164" s="41" cm="1">
        <f t="array" ref="AA164">INDEX(Curva_Temp[Temp],MATCH(TBL_CalcDarwin[[#This Row],[Darwin Temp.
°C]],Curva_Temp[Temp])+1)</f>
        <v>20</v>
      </c>
      <c r="AB164" s="41" cm="1">
        <f t="array" ref="AB164">INDEX(Curva_Temp[Warranted Power Curve for 
1.194Kg/m3 air density '[kW']
SG 5.0-145 (AM 0, 5.0MW) AT 
90M],MATCH(TBL_CalcDarwin[[#This Row],[Darwin Temp.
°C]],Curva_Temp[Temp])+1)</f>
        <v>5000</v>
      </c>
      <c r="AC164" s="45">
        <f>HLOOKUP(TBL_CalcDarwin[[#This Row],[Fecha]],'Plantilla AEG ES'!$E$1:$HX$13,2,FALSE)</f>
        <v>5</v>
      </c>
      <c r="AD164" s="45">
        <f>HLOOKUP(TBL_CalcDarwin[[#This Row],[Fecha]],'Plantilla AEG ES'!$E$1:$HX$13,3,FALSE)</f>
        <v>8</v>
      </c>
      <c r="AE164" s="45">
        <f>HLOOKUP(TBL_CalcDarwin[[#This Row],[Fecha]],'Plantilla AEG ES'!$E$1:$HX$13,4,FALSE)</f>
        <v>12</v>
      </c>
      <c r="AF164" s="45">
        <f>HLOOKUP(TBL_CalcDarwin[[#This Row],[Fecha]],'Plantilla AEG ES'!$E$1:$HX$13,5,FALSE)</f>
        <v>1</v>
      </c>
      <c r="AG164" s="45">
        <f>HLOOKUP(TBL_CalcDarwin[[#This Row],[Fecha]],'Plantilla AEG ES'!$E$1:$HX$13,6,FALSE)</f>
        <v>1</v>
      </c>
      <c r="AH164" s="45">
        <f>HLOOKUP(TBL_CalcDarwin[[#This Row],[Fecha]],'Plantilla AEG ES'!$E$1:$HX$13,7,FALSE)</f>
        <v>0</v>
      </c>
      <c r="AI164" s="46">
        <f>HLOOKUP(TBL_CalcDarwin[[#This Row],[Fecha]],'Plantilla AEG ES'!$E$1:$HX$13,8,FALSE)</f>
        <v>0</v>
      </c>
      <c r="AJ164" s="46">
        <f>HLOOKUP(TBL_CalcDarwin[[#This Row],[Fecha]],'Plantilla AEG ES'!$E$1:$HX$13,9,FALSE)</f>
        <v>3</v>
      </c>
      <c r="AK164" s="46">
        <f>HLOOKUP(TBL_CalcDarwin[[#This Row],[Fecha]],'Plantilla AEG ES'!$E$1:$HX$13,10,FALSE)</f>
        <v>12</v>
      </c>
      <c r="AL164" s="46">
        <f>HLOOKUP(TBL_CalcDarwin[[#This Row],[Fecha]],'Plantilla AEG ES'!$E$1:$HX$13,11,FALSE)</f>
        <v>1</v>
      </c>
      <c r="AM164" s="46">
        <f>HLOOKUP(TBL_CalcDarwin[[#This Row],[Fecha]],'Plantilla AEG ES'!$E$1:$HX$13,12,FALSE)</f>
        <v>7</v>
      </c>
      <c r="AN164" s="46">
        <f>HLOOKUP(TBL_CalcDarwin[[#This Row],[Fecha]],'Plantilla AEG ES'!$E$1:$HX$13,13,FALSE)</f>
        <v>1</v>
      </c>
      <c r="AO164" s="37">
        <f>TBL_CalcDarwin[[#This Row],[Lomitas - Barra A - 5.2 - Cerro]]+TBL_CalcDarwin[[#This Row],[Lomitas - Barra A - 5.2 - Medio]]+TBL_CalcDarwin[[#This Row],[Lomitas - Barra A - 5.2 - Mar]]</f>
        <v>25</v>
      </c>
      <c r="AP1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110.246</v>
      </c>
      <c r="AR1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112.09899999999999</v>
      </c>
      <c r="AS164" s="37">
        <f>TBL_CalcDarwin[[#This Row],[Expansión - Barra A - 5.2 - Cerro]]+TBL_CalcDarwin[[#This Row],[Expansión - Barra A - 5.2 - Medio]]+TBL_CalcDarwin[[#This Row],[Expansión - Barra A - 5.2 - Mar]]</f>
        <v>2</v>
      </c>
      <c r="AT164" s="37">
        <f>TBL_CalcDarwin[[#This Row],[Expansión - Barra B - 5.2 - Cerro]]</f>
        <v>1</v>
      </c>
      <c r="AU1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64" s="29">
        <f>TBL_CalcDarwin[[#This Row],[Expansión - Barra B - 5.2 - Cerro]]*TBL_CalcDarwin[[#This Row],[AEG 5.2 MW Cerro]]</f>
        <v>2.8780000000000001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5">
        <f t="shared" si="13"/>
        <v>45590.791666666279</v>
      </c>
      <c r="C165" s="17">
        <f t="shared" si="15"/>
        <v>6.7916666666666803</v>
      </c>
      <c r="D165" s="34">
        <f>TBL_CalcDarwin[[#This Row],[Darwin PLOM
MW]]+TBL_CalcDarwin[[#This Row],[Darwin PLOME
MW]]</f>
        <v>241.40200000000002</v>
      </c>
      <c r="E165" s="34">
        <f>TBL_CalcDarwin[[#This Row],[PLOM MW TOTAL BARRA A]]+TBL_CalcDarwin[[#This Row],[PLOM MW TOTAL BARRA B]]</f>
        <v>230.00700000000001</v>
      </c>
      <c r="F165" s="34">
        <f>TBL_CalcDarwin[[#This Row],[PLOME MW TOTAL BARRA A]]+TBL_CalcDarwin[[#This Row],[PLOME MW TOTAL BARRA B]]</f>
        <v>11.395</v>
      </c>
      <c r="G165" s="48">
        <f>'Plantilla Datos'!D170</f>
        <v>9.5</v>
      </c>
      <c r="H165" s="48">
        <f>'Plantilla Datos'!E170</f>
        <v>11.9</v>
      </c>
      <c r="I165" s="49">
        <f>'Plantilla Datos'!F170</f>
        <v>16.100000000000001</v>
      </c>
      <c r="J165" s="47">
        <f>CEILING('Plantilla Datos'!$L$3*TBL_CalcDarwin[[#This Row],[Darwin Gusts
m/s]],0.5)</f>
        <v>9</v>
      </c>
      <c r="K165" s="47">
        <f>CEILING('Plantilla Datos'!$L$4*TBL_CalcDarwin[[#This Row],[Darwin Gusts
m/s]],0.5)</f>
        <v>10.5</v>
      </c>
      <c r="L165" s="47">
        <f>CEILING(TBL_CalcDarwin[[#This Row],[Darwin Gusts
m/s]],0.5)</f>
        <v>12</v>
      </c>
      <c r="M1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5.1559999999999997</v>
      </c>
      <c r="Q165" s="41">
        <f>INDEX(Curva_Temp[Temp],MATCH(TBL_CalcDarwin[[#This Row],[Darwin Temp.
°C]],Curva_Temp[Temp]))</f>
        <v>15</v>
      </c>
      <c r="R165" s="41">
        <f>INDEX(Curva_Temp[Warranted Power Curve for 
1.194Kg/m3 air density '[kW']
SG 5.0-145 (AM+1, 5.2MW) AT 
90M],MATCH(TBL_CalcDarwin[[#This Row],[Darwin Temp.
°C]],Curva_Temp[Temp]))</f>
        <v>5200</v>
      </c>
      <c r="S165" s="41" cm="1">
        <f t="array" ref="S165">INDEX(Curva_Temp[Temp],MATCH(TBL_CalcDarwin[[#This Row],[Darwin Temp.
°C]],Curva_Temp[Temp])+1)</f>
        <v>20</v>
      </c>
      <c r="T165" s="41" cm="1">
        <f t="array" ref="T165">INDEX(Curva_Temp[Warranted Power Curve for 
1.194Kg/m3 air density '[kW']
SG 5.0-145 (AM+1, 5.2MW) AT 
90M],MATCH(TBL_CalcDarwin[[#This Row],[Darwin Temp.
°C]],Curva_Temp[Temp])+1)</f>
        <v>5000</v>
      </c>
      <c r="U1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65" s="41">
        <f>INDEX(Curva_Temp[Temp],MATCH(TBL_CalcDarwin[[#This Row],[Darwin Temp.
°C]],Curva_Temp[Temp]))</f>
        <v>15</v>
      </c>
      <c r="Z165" s="41">
        <f>INDEX(Curva_Temp[Warranted Power Curve for 
1.194Kg/m3 air density '[kW']
SG 5.0-145 (AM 0, 5.0MW) AT 
90M],MATCH(TBL_CalcDarwin[[#This Row],[Darwin Temp.
°C]],Curva_Temp[Temp]))</f>
        <v>5000</v>
      </c>
      <c r="AA165" s="41" cm="1">
        <f t="array" ref="AA165">INDEX(Curva_Temp[Temp],MATCH(TBL_CalcDarwin[[#This Row],[Darwin Temp.
°C]],Curva_Temp[Temp])+1)</f>
        <v>20</v>
      </c>
      <c r="AB165" s="41" cm="1">
        <f t="array" ref="AB165">INDEX(Curva_Temp[Warranted Power Curve for 
1.194Kg/m3 air density '[kW']
SG 5.0-145 (AM 0, 5.0MW) AT 
90M],MATCH(TBL_CalcDarwin[[#This Row],[Darwin Temp.
°C]],Curva_Temp[Temp])+1)</f>
        <v>5000</v>
      </c>
      <c r="AC165" s="45">
        <f>HLOOKUP(TBL_CalcDarwin[[#This Row],[Fecha]],'Plantilla AEG ES'!$E$1:$HX$13,2,FALSE)</f>
        <v>5</v>
      </c>
      <c r="AD165" s="45">
        <f>HLOOKUP(TBL_CalcDarwin[[#This Row],[Fecha]],'Plantilla AEG ES'!$E$1:$HX$13,3,FALSE)</f>
        <v>8</v>
      </c>
      <c r="AE165" s="45">
        <f>HLOOKUP(TBL_CalcDarwin[[#This Row],[Fecha]],'Plantilla AEG ES'!$E$1:$HX$13,4,FALSE)</f>
        <v>12</v>
      </c>
      <c r="AF165" s="45">
        <f>HLOOKUP(TBL_CalcDarwin[[#This Row],[Fecha]],'Plantilla AEG ES'!$E$1:$HX$13,5,FALSE)</f>
        <v>1</v>
      </c>
      <c r="AG165" s="45">
        <f>HLOOKUP(TBL_CalcDarwin[[#This Row],[Fecha]],'Plantilla AEG ES'!$E$1:$HX$13,6,FALSE)</f>
        <v>1</v>
      </c>
      <c r="AH165" s="45">
        <f>HLOOKUP(TBL_CalcDarwin[[#This Row],[Fecha]],'Plantilla AEG ES'!$E$1:$HX$13,7,FALSE)</f>
        <v>0</v>
      </c>
      <c r="AI165" s="46">
        <f>HLOOKUP(TBL_CalcDarwin[[#This Row],[Fecha]],'Plantilla AEG ES'!$E$1:$HX$13,8,FALSE)</f>
        <v>0</v>
      </c>
      <c r="AJ165" s="46">
        <f>HLOOKUP(TBL_CalcDarwin[[#This Row],[Fecha]],'Plantilla AEG ES'!$E$1:$HX$13,9,FALSE)</f>
        <v>3</v>
      </c>
      <c r="AK165" s="46">
        <f>HLOOKUP(TBL_CalcDarwin[[#This Row],[Fecha]],'Plantilla AEG ES'!$E$1:$HX$13,10,FALSE)</f>
        <v>12</v>
      </c>
      <c r="AL165" s="46">
        <f>HLOOKUP(TBL_CalcDarwin[[#This Row],[Fecha]],'Plantilla AEG ES'!$E$1:$HX$13,11,FALSE)</f>
        <v>1</v>
      </c>
      <c r="AM165" s="46">
        <f>HLOOKUP(TBL_CalcDarwin[[#This Row],[Fecha]],'Plantilla AEG ES'!$E$1:$HX$13,12,FALSE)</f>
        <v>7</v>
      </c>
      <c r="AN165" s="46">
        <f>HLOOKUP(TBL_CalcDarwin[[#This Row],[Fecha]],'Plantilla AEG ES'!$E$1:$HX$13,13,FALSE)</f>
        <v>1</v>
      </c>
      <c r="AO165" s="37">
        <f>TBL_CalcDarwin[[#This Row],[Lomitas - Barra A - 5.2 - Cerro]]+TBL_CalcDarwin[[#This Row],[Lomitas - Barra A - 5.2 - Medio]]+TBL_CalcDarwin[[#This Row],[Lomitas - Barra A - 5.2 - Mar]]</f>
        <v>25</v>
      </c>
      <c r="AP1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116.006</v>
      </c>
      <c r="AR1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114.001</v>
      </c>
      <c r="AS165" s="37">
        <f>TBL_CalcDarwin[[#This Row],[Expansión - Barra A - 5.2 - Cerro]]+TBL_CalcDarwin[[#This Row],[Expansión - Barra A - 5.2 - Medio]]+TBL_CalcDarwin[[#This Row],[Expansión - Barra A - 5.2 - Mar]]</f>
        <v>2</v>
      </c>
      <c r="AT165" s="37">
        <f>TBL_CalcDarwin[[#This Row],[Expansión - Barra B - 5.2 - Cerro]]</f>
        <v>1</v>
      </c>
      <c r="AU1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65" s="29">
        <f>TBL_CalcDarwin[[#This Row],[Expansión - Barra B - 5.2 - Cerro]]*TBL_CalcDarwin[[#This Row],[AEG 5.2 MW Cerro]]</f>
        <v>3.3660000000000001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5">
        <f t="shared" si="13"/>
        <v>45590.833333332943</v>
      </c>
      <c r="C166" s="17">
        <f t="shared" si="15"/>
        <v>6.8333333333333472</v>
      </c>
      <c r="D166" s="34">
        <f>TBL_CalcDarwin[[#This Row],[Darwin PLOM
MW]]+TBL_CalcDarwin[[#This Row],[Darwin PLOME
MW]]</f>
        <v>232.48399999999998</v>
      </c>
      <c r="E166" s="34">
        <f>TBL_CalcDarwin[[#This Row],[PLOM MW TOTAL BARRA A]]+TBL_CalcDarwin[[#This Row],[PLOM MW TOTAL BARRA B]]</f>
        <v>222.44399999999999</v>
      </c>
      <c r="F166" s="34">
        <f>TBL_CalcDarwin[[#This Row],[PLOME MW TOTAL BARRA A]]+TBL_CalcDarwin[[#This Row],[PLOME MW TOTAL BARRA B]]</f>
        <v>10.039999999999999</v>
      </c>
      <c r="G166" s="48">
        <f>'Plantilla Datos'!D171</f>
        <v>9.1</v>
      </c>
      <c r="H166" s="48">
        <f>'Plantilla Datos'!E171</f>
        <v>11.4</v>
      </c>
      <c r="I166" s="49">
        <f>'Plantilla Datos'!F171</f>
        <v>16</v>
      </c>
      <c r="J166" s="47">
        <f>CEILING('Plantilla Datos'!$L$3*TBL_CalcDarwin[[#This Row],[Darwin Gusts
m/s]],0.5)</f>
        <v>8.5</v>
      </c>
      <c r="K166" s="47">
        <f>CEILING('Plantilla Datos'!$L$4*TBL_CalcDarwin[[#This Row],[Darwin Gusts
m/s]],0.5)</f>
        <v>10</v>
      </c>
      <c r="L166" s="47">
        <f>CEILING(TBL_CalcDarwin[[#This Row],[Darwin Gusts
m/s]],0.5)</f>
        <v>11.5</v>
      </c>
      <c r="M1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66" s="41">
        <f>INDEX(Curva_Temp[Temp],MATCH(TBL_CalcDarwin[[#This Row],[Darwin Temp.
°C]],Curva_Temp[Temp]))</f>
        <v>15</v>
      </c>
      <c r="R166" s="41">
        <f>INDEX(Curva_Temp[Warranted Power Curve for 
1.194Kg/m3 air density '[kW']
SG 5.0-145 (AM+1, 5.2MW) AT 
90M],MATCH(TBL_CalcDarwin[[#This Row],[Darwin Temp.
°C]],Curva_Temp[Temp]))</f>
        <v>5200</v>
      </c>
      <c r="S166" s="41" cm="1">
        <f t="array" ref="S166">INDEX(Curva_Temp[Temp],MATCH(TBL_CalcDarwin[[#This Row],[Darwin Temp.
°C]],Curva_Temp[Temp])+1)</f>
        <v>20</v>
      </c>
      <c r="T166" s="41" cm="1">
        <f t="array" ref="T166">INDEX(Curva_Temp[Warranted Power Curve for 
1.194Kg/m3 air density '[kW']
SG 5.0-145 (AM+1, 5.2MW) AT 
90M],MATCH(TBL_CalcDarwin[[#This Row],[Darwin Temp.
°C]],Curva_Temp[Temp])+1)</f>
        <v>5000</v>
      </c>
      <c r="U1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66" s="41">
        <f>INDEX(Curva_Temp[Temp],MATCH(TBL_CalcDarwin[[#This Row],[Darwin Temp.
°C]],Curva_Temp[Temp]))</f>
        <v>15</v>
      </c>
      <c r="Z166" s="41">
        <f>INDEX(Curva_Temp[Warranted Power Curve for 
1.194Kg/m3 air density '[kW']
SG 5.0-145 (AM 0, 5.0MW) AT 
90M],MATCH(TBL_CalcDarwin[[#This Row],[Darwin Temp.
°C]],Curva_Temp[Temp]))</f>
        <v>5000</v>
      </c>
      <c r="AA166" s="41" cm="1">
        <f t="array" ref="AA166">INDEX(Curva_Temp[Temp],MATCH(TBL_CalcDarwin[[#This Row],[Darwin Temp.
°C]],Curva_Temp[Temp])+1)</f>
        <v>20</v>
      </c>
      <c r="AB166" s="41" cm="1">
        <f t="array" ref="AB166">INDEX(Curva_Temp[Warranted Power Curve for 
1.194Kg/m3 air density '[kW']
SG 5.0-145 (AM 0, 5.0MW) AT 
90M],MATCH(TBL_CalcDarwin[[#This Row],[Darwin Temp.
°C]],Curva_Temp[Temp])+1)</f>
        <v>5000</v>
      </c>
      <c r="AC166" s="45">
        <f>HLOOKUP(TBL_CalcDarwin[[#This Row],[Fecha]],'Plantilla AEG ES'!$E$1:$HX$13,2,FALSE)</f>
        <v>5</v>
      </c>
      <c r="AD166" s="45">
        <f>HLOOKUP(TBL_CalcDarwin[[#This Row],[Fecha]],'Plantilla AEG ES'!$E$1:$HX$13,3,FALSE)</f>
        <v>8</v>
      </c>
      <c r="AE166" s="45">
        <f>HLOOKUP(TBL_CalcDarwin[[#This Row],[Fecha]],'Plantilla AEG ES'!$E$1:$HX$13,4,FALSE)</f>
        <v>12</v>
      </c>
      <c r="AF166" s="45">
        <f>HLOOKUP(TBL_CalcDarwin[[#This Row],[Fecha]],'Plantilla AEG ES'!$E$1:$HX$13,5,FALSE)</f>
        <v>1</v>
      </c>
      <c r="AG166" s="45">
        <f>HLOOKUP(TBL_CalcDarwin[[#This Row],[Fecha]],'Plantilla AEG ES'!$E$1:$HX$13,6,FALSE)</f>
        <v>1</v>
      </c>
      <c r="AH166" s="45">
        <f>HLOOKUP(TBL_CalcDarwin[[#This Row],[Fecha]],'Plantilla AEG ES'!$E$1:$HX$13,7,FALSE)</f>
        <v>0</v>
      </c>
      <c r="AI166" s="46">
        <f>HLOOKUP(TBL_CalcDarwin[[#This Row],[Fecha]],'Plantilla AEG ES'!$E$1:$HX$13,8,FALSE)</f>
        <v>0</v>
      </c>
      <c r="AJ166" s="46">
        <f>HLOOKUP(TBL_CalcDarwin[[#This Row],[Fecha]],'Plantilla AEG ES'!$E$1:$HX$13,9,FALSE)</f>
        <v>3</v>
      </c>
      <c r="AK166" s="46">
        <f>HLOOKUP(TBL_CalcDarwin[[#This Row],[Fecha]],'Plantilla AEG ES'!$E$1:$HX$13,10,FALSE)</f>
        <v>12</v>
      </c>
      <c r="AL166" s="46">
        <f>HLOOKUP(TBL_CalcDarwin[[#This Row],[Fecha]],'Plantilla AEG ES'!$E$1:$HX$13,11,FALSE)</f>
        <v>1</v>
      </c>
      <c r="AM166" s="46">
        <f>HLOOKUP(TBL_CalcDarwin[[#This Row],[Fecha]],'Plantilla AEG ES'!$E$1:$HX$13,12,FALSE)</f>
        <v>7</v>
      </c>
      <c r="AN166" s="46">
        <f>HLOOKUP(TBL_CalcDarwin[[#This Row],[Fecha]],'Plantilla AEG ES'!$E$1:$HX$13,13,FALSE)</f>
        <v>1</v>
      </c>
      <c r="AO166" s="37">
        <f>TBL_CalcDarwin[[#This Row],[Lomitas - Barra A - 5.2 - Cerro]]+TBL_CalcDarwin[[#This Row],[Lomitas - Barra A - 5.2 - Medio]]+TBL_CalcDarwin[[#This Row],[Lomitas - Barra A - 5.2 - Mar]]</f>
        <v>25</v>
      </c>
      <c r="AP1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110.47399999999999</v>
      </c>
      <c r="AR1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166" s="37">
        <f>TBL_CalcDarwin[[#This Row],[Expansión - Barra A - 5.2 - Cerro]]+TBL_CalcDarwin[[#This Row],[Expansión - Barra A - 5.2 - Medio]]+TBL_CalcDarwin[[#This Row],[Expansión - Barra A - 5.2 - Mar]]</f>
        <v>2</v>
      </c>
      <c r="AT166" s="37">
        <f>TBL_CalcDarwin[[#This Row],[Expansión - Barra B - 5.2 - Cerro]]</f>
        <v>1</v>
      </c>
      <c r="AU1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66" s="29">
        <f>TBL_CalcDarwin[[#This Row],[Expansión - Barra B - 5.2 - Cerro]]*TBL_CalcDarwin[[#This Row],[AEG 5.2 MW Cerro]]</f>
        <v>2.8780000000000001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5">
        <f t="shared" si="13"/>
        <v>45590.874999999607</v>
      </c>
      <c r="C167" s="17">
        <f>C166+TIME(1,0,0)</f>
        <v>6.8750000000000142</v>
      </c>
      <c r="D167" s="34">
        <f>TBL_CalcDarwin[[#This Row],[Darwin PLOM
MW]]+TBL_CalcDarwin[[#This Row],[Darwin PLOME
MW]]</f>
        <v>217.79000000000002</v>
      </c>
      <c r="E167" s="34">
        <f>TBL_CalcDarwin[[#This Row],[PLOM MW TOTAL BARRA A]]+TBL_CalcDarwin[[#This Row],[PLOM MW TOTAL BARRA B]]</f>
        <v>209.13000000000002</v>
      </c>
      <c r="F167" s="34">
        <f>TBL_CalcDarwin[[#This Row],[PLOME MW TOTAL BARRA A]]+TBL_CalcDarwin[[#This Row],[PLOME MW TOTAL BARRA B]]</f>
        <v>8.66</v>
      </c>
      <c r="G167" s="48">
        <f>'Plantilla Datos'!D172</f>
        <v>8.6999999999999993</v>
      </c>
      <c r="H167" s="48">
        <f>'Plantilla Datos'!E172</f>
        <v>10.9</v>
      </c>
      <c r="I167" s="49">
        <f>'Plantilla Datos'!F172</f>
        <v>15.9</v>
      </c>
      <c r="J167" s="47">
        <f>CEILING('Plantilla Datos'!$L$3*TBL_CalcDarwin[[#This Row],[Darwin Gusts
m/s]],0.5)</f>
        <v>8</v>
      </c>
      <c r="K167" s="47">
        <f>CEILING('Plantilla Datos'!$L$4*TBL_CalcDarwin[[#This Row],[Darwin Gusts
m/s]],0.5)</f>
        <v>9.5</v>
      </c>
      <c r="L167" s="47">
        <f>CEILING(TBL_CalcDarwin[[#This Row],[Darwin Gusts
m/s]],0.5)</f>
        <v>11</v>
      </c>
      <c r="M1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67" s="41">
        <f>INDEX(Curva_Temp[Temp],MATCH(TBL_CalcDarwin[[#This Row],[Darwin Temp.
°C]],Curva_Temp[Temp]))</f>
        <v>15</v>
      </c>
      <c r="R167" s="41">
        <f>INDEX(Curva_Temp[Warranted Power Curve for 
1.194Kg/m3 air density '[kW']
SG 5.0-145 (AM+1, 5.2MW) AT 
90M],MATCH(TBL_CalcDarwin[[#This Row],[Darwin Temp.
°C]],Curva_Temp[Temp]))</f>
        <v>5200</v>
      </c>
      <c r="S167" s="41" cm="1">
        <f t="array" ref="S167">INDEX(Curva_Temp[Temp],MATCH(TBL_CalcDarwin[[#This Row],[Darwin Temp.
°C]],Curva_Temp[Temp])+1)</f>
        <v>20</v>
      </c>
      <c r="T167" s="41" cm="1">
        <f t="array" ref="T167">INDEX(Curva_Temp[Warranted Power Curve for 
1.194Kg/m3 air density '[kW']
SG 5.0-145 (AM+1, 5.2MW) AT 
90M],MATCH(TBL_CalcDarwin[[#This Row],[Darwin Temp.
°C]],Curva_Temp[Temp])+1)</f>
        <v>5000</v>
      </c>
      <c r="U1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67" s="41">
        <f>INDEX(Curva_Temp[Temp],MATCH(TBL_CalcDarwin[[#This Row],[Darwin Temp.
°C]],Curva_Temp[Temp]))</f>
        <v>15</v>
      </c>
      <c r="Z167" s="41">
        <f>INDEX(Curva_Temp[Warranted Power Curve for 
1.194Kg/m3 air density '[kW']
SG 5.0-145 (AM 0, 5.0MW) AT 
90M],MATCH(TBL_CalcDarwin[[#This Row],[Darwin Temp.
°C]],Curva_Temp[Temp]))</f>
        <v>5000</v>
      </c>
      <c r="AA167" s="41" cm="1">
        <f t="array" ref="AA167">INDEX(Curva_Temp[Temp],MATCH(TBL_CalcDarwin[[#This Row],[Darwin Temp.
°C]],Curva_Temp[Temp])+1)</f>
        <v>20</v>
      </c>
      <c r="AB167" s="41" cm="1">
        <f t="array" ref="AB167">INDEX(Curva_Temp[Warranted Power Curve for 
1.194Kg/m3 air density '[kW']
SG 5.0-145 (AM 0, 5.0MW) AT 
90M],MATCH(TBL_CalcDarwin[[#This Row],[Darwin Temp.
°C]],Curva_Temp[Temp])+1)</f>
        <v>5000</v>
      </c>
      <c r="AC167" s="45">
        <f>HLOOKUP(TBL_CalcDarwin[[#This Row],[Fecha]],'Plantilla AEG ES'!$E$1:$HX$13,2,FALSE)</f>
        <v>5</v>
      </c>
      <c r="AD167" s="45">
        <f>HLOOKUP(TBL_CalcDarwin[[#This Row],[Fecha]],'Plantilla AEG ES'!$E$1:$HX$13,3,FALSE)</f>
        <v>8</v>
      </c>
      <c r="AE167" s="45">
        <f>HLOOKUP(TBL_CalcDarwin[[#This Row],[Fecha]],'Plantilla AEG ES'!$E$1:$HX$13,4,FALSE)</f>
        <v>12</v>
      </c>
      <c r="AF167" s="45">
        <f>HLOOKUP(TBL_CalcDarwin[[#This Row],[Fecha]],'Plantilla AEG ES'!$E$1:$HX$13,5,FALSE)</f>
        <v>1</v>
      </c>
      <c r="AG167" s="45">
        <f>HLOOKUP(TBL_CalcDarwin[[#This Row],[Fecha]],'Plantilla AEG ES'!$E$1:$HX$13,6,FALSE)</f>
        <v>1</v>
      </c>
      <c r="AH167" s="45">
        <f>HLOOKUP(TBL_CalcDarwin[[#This Row],[Fecha]],'Plantilla AEG ES'!$E$1:$HX$13,7,FALSE)</f>
        <v>0</v>
      </c>
      <c r="AI167" s="46">
        <f>HLOOKUP(TBL_CalcDarwin[[#This Row],[Fecha]],'Plantilla AEG ES'!$E$1:$HX$13,8,FALSE)</f>
        <v>0</v>
      </c>
      <c r="AJ167" s="46">
        <f>HLOOKUP(TBL_CalcDarwin[[#This Row],[Fecha]],'Plantilla AEG ES'!$E$1:$HX$13,9,FALSE)</f>
        <v>3</v>
      </c>
      <c r="AK167" s="46">
        <f>HLOOKUP(TBL_CalcDarwin[[#This Row],[Fecha]],'Plantilla AEG ES'!$E$1:$HX$13,10,FALSE)</f>
        <v>12</v>
      </c>
      <c r="AL167" s="46">
        <f>HLOOKUP(TBL_CalcDarwin[[#This Row],[Fecha]],'Plantilla AEG ES'!$E$1:$HX$13,11,FALSE)</f>
        <v>1</v>
      </c>
      <c r="AM167" s="46">
        <f>HLOOKUP(TBL_CalcDarwin[[#This Row],[Fecha]],'Plantilla AEG ES'!$E$1:$HX$13,12,FALSE)</f>
        <v>7</v>
      </c>
      <c r="AN167" s="46">
        <f>HLOOKUP(TBL_CalcDarwin[[#This Row],[Fecha]],'Plantilla AEG ES'!$E$1:$HX$13,13,FALSE)</f>
        <v>1</v>
      </c>
      <c r="AO167" s="37">
        <f>TBL_CalcDarwin[[#This Row],[Lomitas - Barra A - 5.2 - Cerro]]+TBL_CalcDarwin[[#This Row],[Lomitas - Barra A - 5.2 - Medio]]+TBL_CalcDarwin[[#This Row],[Lomitas - Barra A - 5.2 - Mar]]</f>
        <v>25</v>
      </c>
      <c r="AP1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67" s="37">
        <f>TBL_CalcDarwin[[#This Row],[Expansión - Barra A - 5.2 - Cerro]]+TBL_CalcDarwin[[#This Row],[Expansión - Barra A - 5.2 - Medio]]+TBL_CalcDarwin[[#This Row],[Expansión - Barra A - 5.2 - Mar]]</f>
        <v>2</v>
      </c>
      <c r="AT167" s="37">
        <f>TBL_CalcDarwin[[#This Row],[Expansión - Barra B - 5.2 - Cerro]]</f>
        <v>1</v>
      </c>
      <c r="AU1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67" s="29">
        <f>TBL_CalcDarwin[[#This Row],[Expansión - Barra B - 5.2 - Cerro]]*TBL_CalcDarwin[[#This Row],[AEG 5.2 MW Cerro]]</f>
        <v>2.4089999999999998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5">
        <f t="shared" si="13"/>
        <v>45590.916666666271</v>
      </c>
      <c r="C168" s="17">
        <f t="shared" ref="C168:C172" si="16">C167+TIME(1,0,0)</f>
        <v>6.9166666666666812</v>
      </c>
      <c r="D168" s="34">
        <f>TBL_CalcDarwin[[#This Row],[Darwin PLOM
MW]]+TBL_CalcDarwin[[#This Row],[Darwin PLOME
MW]]</f>
        <v>203.38</v>
      </c>
      <c r="E168" s="34">
        <f>TBL_CalcDarwin[[#This Row],[PLOM MW TOTAL BARRA A]]+TBL_CalcDarwin[[#This Row],[PLOM MW TOTAL BARRA B]]</f>
        <v>195.196</v>
      </c>
      <c r="F168" s="34">
        <f>TBL_CalcDarwin[[#This Row],[PLOME MW TOTAL BARRA A]]+TBL_CalcDarwin[[#This Row],[PLOME MW TOTAL BARRA B]]</f>
        <v>8.1840000000000011</v>
      </c>
      <c r="G168" s="48">
        <f>'Plantilla Datos'!D173</f>
        <v>8.3000000000000007</v>
      </c>
      <c r="H168" s="48">
        <f>'Plantilla Datos'!E173</f>
        <v>10.4</v>
      </c>
      <c r="I168" s="49">
        <f>'Plantilla Datos'!F173</f>
        <v>15.8</v>
      </c>
      <c r="J168" s="47">
        <f>CEILING('Plantilla Datos'!$L$3*TBL_CalcDarwin[[#This Row],[Darwin Gusts
m/s]],0.5)</f>
        <v>8</v>
      </c>
      <c r="K168" s="47">
        <f>CEILING('Plantilla Datos'!$L$4*TBL_CalcDarwin[[#This Row],[Darwin Gusts
m/s]],0.5)</f>
        <v>9</v>
      </c>
      <c r="L168" s="47">
        <f>CEILING(TBL_CalcDarwin[[#This Row],[Darwin Gusts
m/s]],0.5)</f>
        <v>10.5</v>
      </c>
      <c r="M1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68" s="41">
        <f>INDEX(Curva_Temp[Temp],MATCH(TBL_CalcDarwin[[#This Row],[Darwin Temp.
°C]],Curva_Temp[Temp]))</f>
        <v>15</v>
      </c>
      <c r="R168" s="41">
        <f>INDEX(Curva_Temp[Warranted Power Curve for 
1.194Kg/m3 air density '[kW']
SG 5.0-145 (AM+1, 5.2MW) AT 
90M],MATCH(TBL_CalcDarwin[[#This Row],[Darwin Temp.
°C]],Curva_Temp[Temp]))</f>
        <v>5200</v>
      </c>
      <c r="S168" s="41" cm="1">
        <f t="array" ref="S168">INDEX(Curva_Temp[Temp],MATCH(TBL_CalcDarwin[[#This Row],[Darwin Temp.
°C]],Curva_Temp[Temp])+1)</f>
        <v>20</v>
      </c>
      <c r="T168" s="41" cm="1">
        <f t="array" ref="T168">INDEX(Curva_Temp[Warranted Power Curve for 
1.194Kg/m3 air density '[kW']
SG 5.0-145 (AM+1, 5.2MW) AT 
90M],MATCH(TBL_CalcDarwin[[#This Row],[Darwin Temp.
°C]],Curva_Temp[Temp])+1)</f>
        <v>5000</v>
      </c>
      <c r="U1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68" s="41">
        <f>INDEX(Curva_Temp[Temp],MATCH(TBL_CalcDarwin[[#This Row],[Darwin Temp.
°C]],Curva_Temp[Temp]))</f>
        <v>15</v>
      </c>
      <c r="Z168" s="41">
        <f>INDEX(Curva_Temp[Warranted Power Curve for 
1.194Kg/m3 air density '[kW']
SG 5.0-145 (AM 0, 5.0MW) AT 
90M],MATCH(TBL_CalcDarwin[[#This Row],[Darwin Temp.
°C]],Curva_Temp[Temp]))</f>
        <v>5000</v>
      </c>
      <c r="AA168" s="41" cm="1">
        <f t="array" ref="AA168">INDEX(Curva_Temp[Temp],MATCH(TBL_CalcDarwin[[#This Row],[Darwin Temp.
°C]],Curva_Temp[Temp])+1)</f>
        <v>20</v>
      </c>
      <c r="AB168" s="41" cm="1">
        <f t="array" ref="AB168">INDEX(Curva_Temp[Warranted Power Curve for 
1.194Kg/m3 air density '[kW']
SG 5.0-145 (AM 0, 5.0MW) AT 
90M],MATCH(TBL_CalcDarwin[[#This Row],[Darwin Temp.
°C]],Curva_Temp[Temp])+1)</f>
        <v>5000</v>
      </c>
      <c r="AC168" s="45">
        <f>HLOOKUP(TBL_CalcDarwin[[#This Row],[Fecha]],'Plantilla AEG ES'!$E$1:$HX$13,2,FALSE)</f>
        <v>5</v>
      </c>
      <c r="AD168" s="45">
        <f>HLOOKUP(TBL_CalcDarwin[[#This Row],[Fecha]],'Plantilla AEG ES'!$E$1:$HX$13,3,FALSE)</f>
        <v>8</v>
      </c>
      <c r="AE168" s="45">
        <f>HLOOKUP(TBL_CalcDarwin[[#This Row],[Fecha]],'Plantilla AEG ES'!$E$1:$HX$13,4,FALSE)</f>
        <v>12</v>
      </c>
      <c r="AF168" s="45">
        <f>HLOOKUP(TBL_CalcDarwin[[#This Row],[Fecha]],'Plantilla AEG ES'!$E$1:$HX$13,5,FALSE)</f>
        <v>1</v>
      </c>
      <c r="AG168" s="45">
        <f>HLOOKUP(TBL_CalcDarwin[[#This Row],[Fecha]],'Plantilla AEG ES'!$E$1:$HX$13,6,FALSE)</f>
        <v>1</v>
      </c>
      <c r="AH168" s="45">
        <f>HLOOKUP(TBL_CalcDarwin[[#This Row],[Fecha]],'Plantilla AEG ES'!$E$1:$HX$13,7,FALSE)</f>
        <v>0</v>
      </c>
      <c r="AI168" s="46">
        <f>HLOOKUP(TBL_CalcDarwin[[#This Row],[Fecha]],'Plantilla AEG ES'!$E$1:$HX$13,8,FALSE)</f>
        <v>0</v>
      </c>
      <c r="AJ168" s="46">
        <f>HLOOKUP(TBL_CalcDarwin[[#This Row],[Fecha]],'Plantilla AEG ES'!$E$1:$HX$13,9,FALSE)</f>
        <v>3</v>
      </c>
      <c r="AK168" s="46">
        <f>HLOOKUP(TBL_CalcDarwin[[#This Row],[Fecha]],'Plantilla AEG ES'!$E$1:$HX$13,10,FALSE)</f>
        <v>12</v>
      </c>
      <c r="AL168" s="46">
        <f>HLOOKUP(TBL_CalcDarwin[[#This Row],[Fecha]],'Plantilla AEG ES'!$E$1:$HX$13,11,FALSE)</f>
        <v>1</v>
      </c>
      <c r="AM168" s="46">
        <f>HLOOKUP(TBL_CalcDarwin[[#This Row],[Fecha]],'Plantilla AEG ES'!$E$1:$HX$13,12,FALSE)</f>
        <v>7</v>
      </c>
      <c r="AN168" s="46">
        <f>HLOOKUP(TBL_CalcDarwin[[#This Row],[Fecha]],'Plantilla AEG ES'!$E$1:$HX$13,13,FALSE)</f>
        <v>1</v>
      </c>
      <c r="AO168" s="37">
        <f>TBL_CalcDarwin[[#This Row],[Lomitas - Barra A - 5.2 - Cerro]]+TBL_CalcDarwin[[#This Row],[Lomitas - Barra A - 5.2 - Medio]]+TBL_CalcDarwin[[#This Row],[Lomitas - Barra A - 5.2 - Mar]]</f>
        <v>25</v>
      </c>
      <c r="AP1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68" s="37">
        <f>TBL_CalcDarwin[[#This Row],[Expansión - Barra A - 5.2 - Cerro]]+TBL_CalcDarwin[[#This Row],[Expansión - Barra A - 5.2 - Medio]]+TBL_CalcDarwin[[#This Row],[Expansión - Barra A - 5.2 - Mar]]</f>
        <v>2</v>
      </c>
      <c r="AT168" s="37">
        <f>TBL_CalcDarwin[[#This Row],[Expansión - Barra B - 5.2 - Cerro]]</f>
        <v>1</v>
      </c>
      <c r="AU1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68" s="29">
        <f>TBL_CalcDarwin[[#This Row],[Expansión - Barra B - 5.2 - Cerro]]*TBL_CalcDarwin[[#This Row],[AEG 5.2 MW Cerro]]</f>
        <v>2.4089999999999998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5">
        <f t="shared" si="13"/>
        <v>45590.958333332936</v>
      </c>
      <c r="C169" s="17">
        <f t="shared" si="16"/>
        <v>6.9583333333333481</v>
      </c>
      <c r="D169" s="34">
        <f>TBL_CalcDarwin[[#This Row],[Darwin PLOM
MW]]+TBL_CalcDarwin[[#This Row],[Darwin PLOME
MW]]</f>
        <v>182.655</v>
      </c>
      <c r="E169" s="34">
        <f>TBL_CalcDarwin[[#This Row],[PLOM MW TOTAL BARRA A]]+TBL_CalcDarwin[[#This Row],[PLOM MW TOTAL BARRA B]]</f>
        <v>175.821</v>
      </c>
      <c r="F169" s="34">
        <f>TBL_CalcDarwin[[#This Row],[PLOME MW TOTAL BARRA A]]+TBL_CalcDarwin[[#This Row],[PLOME MW TOTAL BARRA B]]</f>
        <v>6.8339999999999996</v>
      </c>
      <c r="G169" s="48">
        <f>'Plantilla Datos'!D174</f>
        <v>7.9</v>
      </c>
      <c r="H169" s="48">
        <f>'Plantilla Datos'!E174</f>
        <v>9.9</v>
      </c>
      <c r="I169" s="49">
        <f>'Plantilla Datos'!F174</f>
        <v>15.7</v>
      </c>
      <c r="J169" s="47">
        <f>CEILING('Plantilla Datos'!$L$3*TBL_CalcDarwin[[#This Row],[Darwin Gusts
m/s]],0.5)</f>
        <v>7.5</v>
      </c>
      <c r="K169" s="47">
        <f>CEILING('Plantilla Datos'!$L$4*TBL_CalcDarwin[[#This Row],[Darwin Gusts
m/s]],0.5)</f>
        <v>8.5</v>
      </c>
      <c r="L169" s="47">
        <f>CEILING(TBL_CalcDarwin[[#This Row],[Darwin Gusts
m/s]],0.5)</f>
        <v>10</v>
      </c>
      <c r="M1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69" s="41">
        <f>INDEX(Curva_Temp[Temp],MATCH(TBL_CalcDarwin[[#This Row],[Darwin Temp.
°C]],Curva_Temp[Temp]))</f>
        <v>15</v>
      </c>
      <c r="R169" s="41">
        <f>INDEX(Curva_Temp[Warranted Power Curve for 
1.194Kg/m3 air density '[kW']
SG 5.0-145 (AM+1, 5.2MW) AT 
90M],MATCH(TBL_CalcDarwin[[#This Row],[Darwin Temp.
°C]],Curva_Temp[Temp]))</f>
        <v>5200</v>
      </c>
      <c r="S169" s="41" cm="1">
        <f t="array" ref="S169">INDEX(Curva_Temp[Temp],MATCH(TBL_CalcDarwin[[#This Row],[Darwin Temp.
°C]],Curva_Temp[Temp])+1)</f>
        <v>20</v>
      </c>
      <c r="T169" s="41" cm="1">
        <f t="array" ref="T169">INDEX(Curva_Temp[Warranted Power Curve for 
1.194Kg/m3 air density '[kW']
SG 5.0-145 (AM+1, 5.2MW) AT 
90M],MATCH(TBL_CalcDarwin[[#This Row],[Darwin Temp.
°C]],Curva_Temp[Temp])+1)</f>
        <v>5000</v>
      </c>
      <c r="U1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69" s="41">
        <f>INDEX(Curva_Temp[Temp],MATCH(TBL_CalcDarwin[[#This Row],[Darwin Temp.
°C]],Curva_Temp[Temp]))</f>
        <v>15</v>
      </c>
      <c r="Z169" s="41">
        <f>INDEX(Curva_Temp[Warranted Power Curve for 
1.194Kg/m3 air density '[kW']
SG 5.0-145 (AM 0, 5.0MW) AT 
90M],MATCH(TBL_CalcDarwin[[#This Row],[Darwin Temp.
°C]],Curva_Temp[Temp]))</f>
        <v>5000</v>
      </c>
      <c r="AA169" s="41" cm="1">
        <f t="array" ref="AA169">INDEX(Curva_Temp[Temp],MATCH(TBL_CalcDarwin[[#This Row],[Darwin Temp.
°C]],Curva_Temp[Temp])+1)</f>
        <v>20</v>
      </c>
      <c r="AB169" s="41" cm="1">
        <f t="array" ref="AB169">INDEX(Curva_Temp[Warranted Power Curve for 
1.194Kg/m3 air density '[kW']
SG 5.0-145 (AM 0, 5.0MW) AT 
90M],MATCH(TBL_CalcDarwin[[#This Row],[Darwin Temp.
°C]],Curva_Temp[Temp])+1)</f>
        <v>5000</v>
      </c>
      <c r="AC169" s="45">
        <f>HLOOKUP(TBL_CalcDarwin[[#This Row],[Fecha]],'Plantilla AEG ES'!$E$1:$HX$13,2,FALSE)</f>
        <v>5</v>
      </c>
      <c r="AD169" s="45">
        <f>HLOOKUP(TBL_CalcDarwin[[#This Row],[Fecha]],'Plantilla AEG ES'!$E$1:$HX$13,3,FALSE)</f>
        <v>8</v>
      </c>
      <c r="AE169" s="45">
        <f>HLOOKUP(TBL_CalcDarwin[[#This Row],[Fecha]],'Plantilla AEG ES'!$E$1:$HX$13,4,FALSE)</f>
        <v>12</v>
      </c>
      <c r="AF169" s="45">
        <f>HLOOKUP(TBL_CalcDarwin[[#This Row],[Fecha]],'Plantilla AEG ES'!$E$1:$HX$13,5,FALSE)</f>
        <v>1</v>
      </c>
      <c r="AG169" s="45">
        <f>HLOOKUP(TBL_CalcDarwin[[#This Row],[Fecha]],'Plantilla AEG ES'!$E$1:$HX$13,6,FALSE)</f>
        <v>1</v>
      </c>
      <c r="AH169" s="45">
        <f>HLOOKUP(TBL_CalcDarwin[[#This Row],[Fecha]],'Plantilla AEG ES'!$E$1:$HX$13,7,FALSE)</f>
        <v>0</v>
      </c>
      <c r="AI169" s="46">
        <f>HLOOKUP(TBL_CalcDarwin[[#This Row],[Fecha]],'Plantilla AEG ES'!$E$1:$HX$13,8,FALSE)</f>
        <v>0</v>
      </c>
      <c r="AJ169" s="46">
        <f>HLOOKUP(TBL_CalcDarwin[[#This Row],[Fecha]],'Plantilla AEG ES'!$E$1:$HX$13,9,FALSE)</f>
        <v>3</v>
      </c>
      <c r="AK169" s="46">
        <f>HLOOKUP(TBL_CalcDarwin[[#This Row],[Fecha]],'Plantilla AEG ES'!$E$1:$HX$13,10,FALSE)</f>
        <v>12</v>
      </c>
      <c r="AL169" s="46">
        <f>HLOOKUP(TBL_CalcDarwin[[#This Row],[Fecha]],'Plantilla AEG ES'!$E$1:$HX$13,11,FALSE)</f>
        <v>1</v>
      </c>
      <c r="AM169" s="46">
        <f>HLOOKUP(TBL_CalcDarwin[[#This Row],[Fecha]],'Plantilla AEG ES'!$E$1:$HX$13,12,FALSE)</f>
        <v>7</v>
      </c>
      <c r="AN169" s="46">
        <f>HLOOKUP(TBL_CalcDarwin[[#This Row],[Fecha]],'Plantilla AEG ES'!$E$1:$HX$13,13,FALSE)</f>
        <v>1</v>
      </c>
      <c r="AO169" s="37">
        <f>TBL_CalcDarwin[[#This Row],[Lomitas - Barra A - 5.2 - Cerro]]+TBL_CalcDarwin[[#This Row],[Lomitas - Barra A - 5.2 - Medio]]+TBL_CalcDarwin[[#This Row],[Lomitas - Barra A - 5.2 - Mar]]</f>
        <v>25</v>
      </c>
      <c r="AP1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69" s="37">
        <f>TBL_CalcDarwin[[#This Row],[Expansión - Barra A - 5.2 - Cerro]]+TBL_CalcDarwin[[#This Row],[Expansión - Barra A - 5.2 - Medio]]+TBL_CalcDarwin[[#This Row],[Expansión - Barra A - 5.2 - Mar]]</f>
        <v>2</v>
      </c>
      <c r="AT169" s="37">
        <f>TBL_CalcDarwin[[#This Row],[Expansión - Barra B - 5.2 - Cerro]]</f>
        <v>1</v>
      </c>
      <c r="AU1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69" s="29">
        <f>TBL_CalcDarwin[[#This Row],[Expansión - Barra B - 5.2 - Cerro]]*TBL_CalcDarwin[[#This Row],[AEG 5.2 MW Cerro]]</f>
        <v>1.978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5">
        <f t="shared" si="13"/>
        <v>45590.9999999996</v>
      </c>
      <c r="C170" s="17">
        <f t="shared" si="16"/>
        <v>7.0000000000000151</v>
      </c>
      <c r="D170" s="34">
        <f>TBL_CalcDarwin[[#This Row],[Darwin PLOM
MW]]+TBL_CalcDarwin[[#This Row],[Darwin PLOME
MW]]</f>
        <v>159.38400000000001</v>
      </c>
      <c r="E170" s="34">
        <f>TBL_CalcDarwin[[#This Row],[PLOM MW TOTAL BARRA A]]+TBL_CalcDarwin[[#This Row],[PLOM MW TOTAL BARRA B]]</f>
        <v>153.31200000000001</v>
      </c>
      <c r="F170" s="34">
        <f>TBL_CalcDarwin[[#This Row],[PLOME MW TOTAL BARRA A]]+TBL_CalcDarwin[[#This Row],[PLOME MW TOTAL BARRA B]]</f>
        <v>6.0719999999999992</v>
      </c>
      <c r="G170" s="48">
        <f>'Plantilla Datos'!D175</f>
        <v>7.5</v>
      </c>
      <c r="H170" s="48">
        <f>'Plantilla Datos'!E175</f>
        <v>9.4</v>
      </c>
      <c r="I170" s="49">
        <f>'Plantilla Datos'!F175</f>
        <v>15.7</v>
      </c>
      <c r="J170" s="47">
        <f>CEILING('Plantilla Datos'!$L$3*TBL_CalcDarwin[[#This Row],[Darwin Gusts
m/s]],0.5)</f>
        <v>7</v>
      </c>
      <c r="K170" s="47">
        <f>CEILING('Plantilla Datos'!$L$4*TBL_CalcDarwin[[#This Row],[Darwin Gusts
m/s]],0.5)</f>
        <v>8.5</v>
      </c>
      <c r="L170" s="47">
        <f>CEILING(TBL_CalcDarwin[[#This Row],[Darwin Gusts
m/s]],0.5)</f>
        <v>9.5</v>
      </c>
      <c r="M1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70" s="41">
        <f>INDEX(Curva_Temp[Temp],MATCH(TBL_CalcDarwin[[#This Row],[Darwin Temp.
°C]],Curva_Temp[Temp]))</f>
        <v>15</v>
      </c>
      <c r="R170" s="41">
        <f>INDEX(Curva_Temp[Warranted Power Curve for 
1.194Kg/m3 air density '[kW']
SG 5.0-145 (AM+1, 5.2MW) AT 
90M],MATCH(TBL_CalcDarwin[[#This Row],[Darwin Temp.
°C]],Curva_Temp[Temp]))</f>
        <v>5200</v>
      </c>
      <c r="S170" s="41" cm="1">
        <f t="array" ref="S170">INDEX(Curva_Temp[Temp],MATCH(TBL_CalcDarwin[[#This Row],[Darwin Temp.
°C]],Curva_Temp[Temp])+1)</f>
        <v>20</v>
      </c>
      <c r="T170" s="41" cm="1">
        <f t="array" ref="T170">INDEX(Curva_Temp[Warranted Power Curve for 
1.194Kg/m3 air density '[kW']
SG 5.0-145 (AM+1, 5.2MW) AT 
90M],MATCH(TBL_CalcDarwin[[#This Row],[Darwin Temp.
°C]],Curva_Temp[Temp])+1)</f>
        <v>5000</v>
      </c>
      <c r="U1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70" s="41">
        <f>INDEX(Curva_Temp[Temp],MATCH(TBL_CalcDarwin[[#This Row],[Darwin Temp.
°C]],Curva_Temp[Temp]))</f>
        <v>15</v>
      </c>
      <c r="Z170" s="41">
        <f>INDEX(Curva_Temp[Warranted Power Curve for 
1.194Kg/m3 air density '[kW']
SG 5.0-145 (AM 0, 5.0MW) AT 
90M],MATCH(TBL_CalcDarwin[[#This Row],[Darwin Temp.
°C]],Curva_Temp[Temp]))</f>
        <v>5000</v>
      </c>
      <c r="AA170" s="41" cm="1">
        <f t="array" ref="AA170">INDEX(Curva_Temp[Temp],MATCH(TBL_CalcDarwin[[#This Row],[Darwin Temp.
°C]],Curva_Temp[Temp])+1)</f>
        <v>20</v>
      </c>
      <c r="AB170" s="41" cm="1">
        <f t="array" ref="AB170">INDEX(Curva_Temp[Warranted Power Curve for 
1.194Kg/m3 air density '[kW']
SG 5.0-145 (AM 0, 5.0MW) AT 
90M],MATCH(TBL_CalcDarwin[[#This Row],[Darwin Temp.
°C]],Curva_Temp[Temp])+1)</f>
        <v>5000</v>
      </c>
      <c r="AC170" s="45">
        <f>HLOOKUP(TBL_CalcDarwin[[#This Row],[Fecha]],'Plantilla AEG ES'!$E$1:$HX$13,2,FALSE)</f>
        <v>5</v>
      </c>
      <c r="AD170" s="45">
        <f>HLOOKUP(TBL_CalcDarwin[[#This Row],[Fecha]],'Plantilla AEG ES'!$E$1:$HX$13,3,FALSE)</f>
        <v>7</v>
      </c>
      <c r="AE170" s="45">
        <f>HLOOKUP(TBL_CalcDarwin[[#This Row],[Fecha]],'Plantilla AEG ES'!$E$1:$HX$13,4,FALSE)</f>
        <v>11</v>
      </c>
      <c r="AF170" s="45">
        <f>HLOOKUP(TBL_CalcDarwin[[#This Row],[Fecha]],'Plantilla AEG ES'!$E$1:$HX$13,5,FALSE)</f>
        <v>1</v>
      </c>
      <c r="AG170" s="45">
        <f>HLOOKUP(TBL_CalcDarwin[[#This Row],[Fecha]],'Plantilla AEG ES'!$E$1:$HX$13,6,FALSE)</f>
        <v>1</v>
      </c>
      <c r="AH170" s="45">
        <f>HLOOKUP(TBL_CalcDarwin[[#This Row],[Fecha]],'Plantilla AEG ES'!$E$1:$HX$13,7,FALSE)</f>
        <v>0</v>
      </c>
      <c r="AI170" s="46">
        <f>HLOOKUP(TBL_CalcDarwin[[#This Row],[Fecha]],'Plantilla AEG ES'!$E$1:$HX$13,8,FALSE)</f>
        <v>0</v>
      </c>
      <c r="AJ170" s="46">
        <f>HLOOKUP(TBL_CalcDarwin[[#This Row],[Fecha]],'Plantilla AEG ES'!$E$1:$HX$13,9,FALSE)</f>
        <v>3</v>
      </c>
      <c r="AK170" s="46">
        <f>HLOOKUP(TBL_CalcDarwin[[#This Row],[Fecha]],'Plantilla AEG ES'!$E$1:$HX$13,10,FALSE)</f>
        <v>12</v>
      </c>
      <c r="AL170" s="46">
        <f>HLOOKUP(TBL_CalcDarwin[[#This Row],[Fecha]],'Plantilla AEG ES'!$E$1:$HX$13,11,FALSE)</f>
        <v>1</v>
      </c>
      <c r="AM170" s="46">
        <f>HLOOKUP(TBL_CalcDarwin[[#This Row],[Fecha]],'Plantilla AEG ES'!$E$1:$HX$13,12,FALSE)</f>
        <v>7</v>
      </c>
      <c r="AN170" s="46">
        <f>HLOOKUP(TBL_CalcDarwin[[#This Row],[Fecha]],'Plantilla AEG ES'!$E$1:$HX$13,13,FALSE)</f>
        <v>1</v>
      </c>
      <c r="AO170" s="37">
        <f>TBL_CalcDarwin[[#This Row],[Lomitas - Barra A - 5.2 - Cerro]]+TBL_CalcDarwin[[#This Row],[Lomitas - Barra A - 5.2 - Medio]]+TBL_CalcDarwin[[#This Row],[Lomitas - Barra A - 5.2 - Mar]]</f>
        <v>23</v>
      </c>
      <c r="AP1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70.393000000000001</v>
      </c>
      <c r="AR1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70" s="37">
        <f>TBL_CalcDarwin[[#This Row],[Expansión - Barra A - 5.2 - Cerro]]+TBL_CalcDarwin[[#This Row],[Expansión - Barra A - 5.2 - Medio]]+TBL_CalcDarwin[[#This Row],[Expansión - Barra A - 5.2 - Mar]]</f>
        <v>2</v>
      </c>
      <c r="AT170" s="37">
        <f>TBL_CalcDarwin[[#This Row],[Expansión - Barra B - 5.2 - Cerro]]</f>
        <v>1</v>
      </c>
      <c r="AU1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70" s="29">
        <f>TBL_CalcDarwin[[#This Row],[Expansión - Barra B - 5.2 - Cerro]]*TBL_CalcDarwin[[#This Row],[AEG 5.2 MW Cerro]]</f>
        <v>1.597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5">
        <f t="shared" si="13"/>
        <v>45591.041666666264</v>
      </c>
      <c r="C171" s="17">
        <f t="shared" si="16"/>
        <v>7.0416666666666821</v>
      </c>
      <c r="D171" s="34">
        <f>TBL_CalcDarwin[[#This Row],[Darwin PLOM
MW]]+TBL_CalcDarwin[[#This Row],[Darwin PLOME
MW]]</f>
        <v>137.39600000000002</v>
      </c>
      <c r="E171" s="34">
        <f>TBL_CalcDarwin[[#This Row],[PLOM MW TOTAL BARRA A]]+TBL_CalcDarwin[[#This Row],[PLOM MW TOTAL BARRA B]]</f>
        <v>132.45500000000001</v>
      </c>
      <c r="F171" s="34">
        <f>TBL_CalcDarwin[[#This Row],[PLOME MW TOTAL BARRA A]]+TBL_CalcDarwin[[#This Row],[PLOME MW TOTAL BARRA B]]</f>
        <v>4.9409999999999998</v>
      </c>
      <c r="G171" s="48">
        <f>'Plantilla Datos'!D176</f>
        <v>7.1</v>
      </c>
      <c r="H171" s="48">
        <f>'Plantilla Datos'!E176</f>
        <v>8.9</v>
      </c>
      <c r="I171" s="49">
        <f>'Plantilla Datos'!F176</f>
        <v>15.6</v>
      </c>
      <c r="J171" s="47">
        <f>CEILING('Plantilla Datos'!$L$3*TBL_CalcDarwin[[#This Row],[Darwin Gusts
m/s]],0.5)</f>
        <v>6.5</v>
      </c>
      <c r="K171" s="47">
        <f>CEILING('Plantilla Datos'!$L$4*TBL_CalcDarwin[[#This Row],[Darwin Gusts
m/s]],0.5)</f>
        <v>8</v>
      </c>
      <c r="L171" s="47">
        <f>CEILING(TBL_CalcDarwin[[#This Row],[Darwin Gusts
m/s]],0.5)</f>
        <v>9</v>
      </c>
      <c r="M1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71" s="41">
        <f>INDEX(Curva_Temp[Temp],MATCH(TBL_CalcDarwin[[#This Row],[Darwin Temp.
°C]],Curva_Temp[Temp]))</f>
        <v>15</v>
      </c>
      <c r="R171" s="41">
        <f>INDEX(Curva_Temp[Warranted Power Curve for 
1.194Kg/m3 air density '[kW']
SG 5.0-145 (AM+1, 5.2MW) AT 
90M],MATCH(TBL_CalcDarwin[[#This Row],[Darwin Temp.
°C]],Curva_Temp[Temp]))</f>
        <v>5200</v>
      </c>
      <c r="S171" s="41" cm="1">
        <f t="array" ref="S171">INDEX(Curva_Temp[Temp],MATCH(TBL_CalcDarwin[[#This Row],[Darwin Temp.
°C]],Curva_Temp[Temp])+1)</f>
        <v>20</v>
      </c>
      <c r="T171" s="41" cm="1">
        <f t="array" ref="T171">INDEX(Curva_Temp[Warranted Power Curve for 
1.194Kg/m3 air density '[kW']
SG 5.0-145 (AM+1, 5.2MW) AT 
90M],MATCH(TBL_CalcDarwin[[#This Row],[Darwin Temp.
°C]],Curva_Temp[Temp])+1)</f>
        <v>5000</v>
      </c>
      <c r="U1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71" s="41">
        <f>INDEX(Curva_Temp[Temp],MATCH(TBL_CalcDarwin[[#This Row],[Darwin Temp.
°C]],Curva_Temp[Temp]))</f>
        <v>15</v>
      </c>
      <c r="Z171" s="41">
        <f>INDEX(Curva_Temp[Warranted Power Curve for 
1.194Kg/m3 air density '[kW']
SG 5.0-145 (AM 0, 5.0MW) AT 
90M],MATCH(TBL_CalcDarwin[[#This Row],[Darwin Temp.
°C]],Curva_Temp[Temp]))</f>
        <v>5000</v>
      </c>
      <c r="AA171" s="41" cm="1">
        <f t="array" ref="AA171">INDEX(Curva_Temp[Temp],MATCH(TBL_CalcDarwin[[#This Row],[Darwin Temp.
°C]],Curva_Temp[Temp])+1)</f>
        <v>20</v>
      </c>
      <c r="AB171" s="41" cm="1">
        <f t="array" ref="AB171">INDEX(Curva_Temp[Warranted Power Curve for 
1.194Kg/m3 air density '[kW']
SG 5.0-145 (AM 0, 5.0MW) AT 
90M],MATCH(TBL_CalcDarwin[[#This Row],[Darwin Temp.
°C]],Curva_Temp[Temp])+1)</f>
        <v>5000</v>
      </c>
      <c r="AC171" s="45">
        <f>HLOOKUP(TBL_CalcDarwin[[#This Row],[Fecha]],'Plantilla AEG ES'!$E$1:$HX$13,2,FALSE)</f>
        <v>5</v>
      </c>
      <c r="AD171" s="45">
        <f>HLOOKUP(TBL_CalcDarwin[[#This Row],[Fecha]],'Plantilla AEG ES'!$E$1:$HX$13,3,FALSE)</f>
        <v>7</v>
      </c>
      <c r="AE171" s="45">
        <f>HLOOKUP(TBL_CalcDarwin[[#This Row],[Fecha]],'Plantilla AEG ES'!$E$1:$HX$13,4,FALSE)</f>
        <v>11</v>
      </c>
      <c r="AF171" s="45">
        <f>HLOOKUP(TBL_CalcDarwin[[#This Row],[Fecha]],'Plantilla AEG ES'!$E$1:$HX$13,5,FALSE)</f>
        <v>1</v>
      </c>
      <c r="AG171" s="45">
        <f>HLOOKUP(TBL_CalcDarwin[[#This Row],[Fecha]],'Plantilla AEG ES'!$E$1:$HX$13,6,FALSE)</f>
        <v>1</v>
      </c>
      <c r="AH171" s="45">
        <f>HLOOKUP(TBL_CalcDarwin[[#This Row],[Fecha]],'Plantilla AEG ES'!$E$1:$HX$13,7,FALSE)</f>
        <v>0</v>
      </c>
      <c r="AI171" s="46">
        <f>HLOOKUP(TBL_CalcDarwin[[#This Row],[Fecha]],'Plantilla AEG ES'!$E$1:$HX$13,8,FALSE)</f>
        <v>0</v>
      </c>
      <c r="AJ171" s="46">
        <f>HLOOKUP(TBL_CalcDarwin[[#This Row],[Fecha]],'Plantilla AEG ES'!$E$1:$HX$13,9,FALSE)</f>
        <v>3</v>
      </c>
      <c r="AK171" s="46">
        <f>HLOOKUP(TBL_CalcDarwin[[#This Row],[Fecha]],'Plantilla AEG ES'!$E$1:$HX$13,10,FALSE)</f>
        <v>12</v>
      </c>
      <c r="AL171" s="46">
        <f>HLOOKUP(TBL_CalcDarwin[[#This Row],[Fecha]],'Plantilla AEG ES'!$E$1:$HX$13,11,FALSE)</f>
        <v>1</v>
      </c>
      <c r="AM171" s="46">
        <f>HLOOKUP(TBL_CalcDarwin[[#This Row],[Fecha]],'Plantilla AEG ES'!$E$1:$HX$13,12,FALSE)</f>
        <v>7</v>
      </c>
      <c r="AN171" s="46">
        <f>HLOOKUP(TBL_CalcDarwin[[#This Row],[Fecha]],'Plantilla AEG ES'!$E$1:$HX$13,13,FALSE)</f>
        <v>1</v>
      </c>
      <c r="AO171" s="37">
        <f>TBL_CalcDarwin[[#This Row],[Lomitas - Barra A - 5.2 - Cerro]]+TBL_CalcDarwin[[#This Row],[Lomitas - Barra A - 5.2 - Medio]]+TBL_CalcDarwin[[#This Row],[Lomitas - Barra A - 5.2 - Mar]]</f>
        <v>23</v>
      </c>
      <c r="AP1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1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71" s="37">
        <f>TBL_CalcDarwin[[#This Row],[Expansión - Barra A - 5.2 - Cerro]]+TBL_CalcDarwin[[#This Row],[Expansión - Barra A - 5.2 - Medio]]+TBL_CalcDarwin[[#This Row],[Expansión - Barra A - 5.2 - Mar]]</f>
        <v>2</v>
      </c>
      <c r="AT171" s="37">
        <f>TBL_CalcDarwin[[#This Row],[Expansión - Barra B - 5.2 - Cerro]]</f>
        <v>1</v>
      </c>
      <c r="AU1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71" s="29">
        <f>TBL_CalcDarwin[[#This Row],[Expansión - Barra B - 5.2 - Cerro]]*TBL_CalcDarwin[[#This Row],[AEG 5.2 MW Cerro]]</f>
        <v>1.266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5">
        <f t="shared" si="13"/>
        <v>45591.083333332928</v>
      </c>
      <c r="C172" s="17">
        <f t="shared" si="16"/>
        <v>7.083333333333349</v>
      </c>
      <c r="D172" s="34">
        <f>TBL_CalcDarwin[[#This Row],[Darwin PLOM
MW]]+TBL_CalcDarwin[[#This Row],[Darwin PLOME
MW]]</f>
        <v>137.39600000000002</v>
      </c>
      <c r="E172" s="34">
        <f>TBL_CalcDarwin[[#This Row],[PLOM MW TOTAL BARRA A]]+TBL_CalcDarwin[[#This Row],[PLOM MW TOTAL BARRA B]]</f>
        <v>132.45500000000001</v>
      </c>
      <c r="F172" s="34">
        <f>TBL_CalcDarwin[[#This Row],[PLOME MW TOTAL BARRA A]]+TBL_CalcDarwin[[#This Row],[PLOME MW TOTAL BARRA B]]</f>
        <v>4.9409999999999998</v>
      </c>
      <c r="G172" s="48">
        <f>'Plantilla Datos'!D177</f>
        <v>7.1</v>
      </c>
      <c r="H172" s="48">
        <f>'Plantilla Datos'!E177</f>
        <v>9</v>
      </c>
      <c r="I172" s="49">
        <f>'Plantilla Datos'!F177</f>
        <v>15.5</v>
      </c>
      <c r="J172" s="47">
        <f>CEILING('Plantilla Datos'!$L$3*TBL_CalcDarwin[[#This Row],[Darwin Gusts
m/s]],0.5)</f>
        <v>6.5</v>
      </c>
      <c r="K172" s="47">
        <f>CEILING('Plantilla Datos'!$L$4*TBL_CalcDarwin[[#This Row],[Darwin Gusts
m/s]],0.5)</f>
        <v>8</v>
      </c>
      <c r="L172" s="47">
        <f>CEILING(TBL_CalcDarwin[[#This Row],[Darwin Gusts
m/s]],0.5)</f>
        <v>9</v>
      </c>
      <c r="M1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72" s="41">
        <f>INDEX(Curva_Temp[Temp],MATCH(TBL_CalcDarwin[[#This Row],[Darwin Temp.
°C]],Curva_Temp[Temp]))</f>
        <v>15</v>
      </c>
      <c r="R172" s="41">
        <f>INDEX(Curva_Temp[Warranted Power Curve for 
1.194Kg/m3 air density '[kW']
SG 5.0-145 (AM+1, 5.2MW) AT 
90M],MATCH(TBL_CalcDarwin[[#This Row],[Darwin Temp.
°C]],Curva_Temp[Temp]))</f>
        <v>5200</v>
      </c>
      <c r="S172" s="41" cm="1">
        <f t="array" ref="S172">INDEX(Curva_Temp[Temp],MATCH(TBL_CalcDarwin[[#This Row],[Darwin Temp.
°C]],Curva_Temp[Temp])+1)</f>
        <v>20</v>
      </c>
      <c r="T172" s="41" cm="1">
        <f t="array" ref="T172">INDEX(Curva_Temp[Warranted Power Curve for 
1.194Kg/m3 air density '[kW']
SG 5.0-145 (AM+1, 5.2MW) AT 
90M],MATCH(TBL_CalcDarwin[[#This Row],[Darwin Temp.
°C]],Curva_Temp[Temp])+1)</f>
        <v>5000</v>
      </c>
      <c r="U1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72" s="41">
        <f>INDEX(Curva_Temp[Temp],MATCH(TBL_CalcDarwin[[#This Row],[Darwin Temp.
°C]],Curva_Temp[Temp]))</f>
        <v>15</v>
      </c>
      <c r="Z172" s="41">
        <f>INDEX(Curva_Temp[Warranted Power Curve for 
1.194Kg/m3 air density '[kW']
SG 5.0-145 (AM 0, 5.0MW) AT 
90M],MATCH(TBL_CalcDarwin[[#This Row],[Darwin Temp.
°C]],Curva_Temp[Temp]))</f>
        <v>5000</v>
      </c>
      <c r="AA172" s="41" cm="1">
        <f t="array" ref="AA172">INDEX(Curva_Temp[Temp],MATCH(TBL_CalcDarwin[[#This Row],[Darwin Temp.
°C]],Curva_Temp[Temp])+1)</f>
        <v>20</v>
      </c>
      <c r="AB172" s="41" cm="1">
        <f t="array" ref="AB172">INDEX(Curva_Temp[Warranted Power Curve for 
1.194Kg/m3 air density '[kW']
SG 5.0-145 (AM 0, 5.0MW) AT 
90M],MATCH(TBL_CalcDarwin[[#This Row],[Darwin Temp.
°C]],Curva_Temp[Temp])+1)</f>
        <v>5000</v>
      </c>
      <c r="AC172" s="45">
        <f>HLOOKUP(TBL_CalcDarwin[[#This Row],[Fecha]],'Plantilla AEG ES'!$E$1:$HX$13,2,FALSE)</f>
        <v>5</v>
      </c>
      <c r="AD172" s="45">
        <f>HLOOKUP(TBL_CalcDarwin[[#This Row],[Fecha]],'Plantilla AEG ES'!$E$1:$HX$13,3,FALSE)</f>
        <v>7</v>
      </c>
      <c r="AE172" s="45">
        <f>HLOOKUP(TBL_CalcDarwin[[#This Row],[Fecha]],'Plantilla AEG ES'!$E$1:$HX$13,4,FALSE)</f>
        <v>11</v>
      </c>
      <c r="AF172" s="45">
        <f>HLOOKUP(TBL_CalcDarwin[[#This Row],[Fecha]],'Plantilla AEG ES'!$E$1:$HX$13,5,FALSE)</f>
        <v>1</v>
      </c>
      <c r="AG172" s="45">
        <f>HLOOKUP(TBL_CalcDarwin[[#This Row],[Fecha]],'Plantilla AEG ES'!$E$1:$HX$13,6,FALSE)</f>
        <v>1</v>
      </c>
      <c r="AH172" s="45">
        <f>HLOOKUP(TBL_CalcDarwin[[#This Row],[Fecha]],'Plantilla AEG ES'!$E$1:$HX$13,7,FALSE)</f>
        <v>0</v>
      </c>
      <c r="AI172" s="46">
        <f>HLOOKUP(TBL_CalcDarwin[[#This Row],[Fecha]],'Plantilla AEG ES'!$E$1:$HX$13,8,FALSE)</f>
        <v>0</v>
      </c>
      <c r="AJ172" s="46">
        <f>HLOOKUP(TBL_CalcDarwin[[#This Row],[Fecha]],'Plantilla AEG ES'!$E$1:$HX$13,9,FALSE)</f>
        <v>3</v>
      </c>
      <c r="AK172" s="46">
        <f>HLOOKUP(TBL_CalcDarwin[[#This Row],[Fecha]],'Plantilla AEG ES'!$E$1:$HX$13,10,FALSE)</f>
        <v>12</v>
      </c>
      <c r="AL172" s="46">
        <f>HLOOKUP(TBL_CalcDarwin[[#This Row],[Fecha]],'Plantilla AEG ES'!$E$1:$HX$13,11,FALSE)</f>
        <v>1</v>
      </c>
      <c r="AM172" s="46">
        <f>HLOOKUP(TBL_CalcDarwin[[#This Row],[Fecha]],'Plantilla AEG ES'!$E$1:$HX$13,12,FALSE)</f>
        <v>7</v>
      </c>
      <c r="AN172" s="46">
        <f>HLOOKUP(TBL_CalcDarwin[[#This Row],[Fecha]],'Plantilla AEG ES'!$E$1:$HX$13,13,FALSE)</f>
        <v>1</v>
      </c>
      <c r="AO172" s="37">
        <f>TBL_CalcDarwin[[#This Row],[Lomitas - Barra A - 5.2 - Cerro]]+TBL_CalcDarwin[[#This Row],[Lomitas - Barra A - 5.2 - Medio]]+TBL_CalcDarwin[[#This Row],[Lomitas - Barra A - 5.2 - Mar]]</f>
        <v>23</v>
      </c>
      <c r="AP1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1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72" s="37">
        <f>TBL_CalcDarwin[[#This Row],[Expansión - Barra A - 5.2 - Cerro]]+TBL_CalcDarwin[[#This Row],[Expansión - Barra A - 5.2 - Medio]]+TBL_CalcDarwin[[#This Row],[Expansión - Barra A - 5.2 - Mar]]</f>
        <v>2</v>
      </c>
      <c r="AT172" s="37">
        <f>TBL_CalcDarwin[[#This Row],[Expansión - Barra B - 5.2 - Cerro]]</f>
        <v>1</v>
      </c>
      <c r="AU1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72" s="29">
        <f>TBL_CalcDarwin[[#This Row],[Expansión - Barra B - 5.2 - Cerro]]*TBL_CalcDarwin[[#This Row],[AEG 5.2 MW Cerro]]</f>
        <v>1.266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5">
        <f t="shared" si="13"/>
        <v>45591.124999999593</v>
      </c>
      <c r="C173" s="17">
        <f>C172+TIME(1,0,0)</f>
        <v>7.125000000000016</v>
      </c>
      <c r="D173" s="34">
        <f>TBL_CalcDarwin[[#This Row],[Darwin PLOM
MW]]+TBL_CalcDarwin[[#This Row],[Darwin PLOME
MW]]</f>
        <v>154.22500000000002</v>
      </c>
      <c r="E173" s="34">
        <f>TBL_CalcDarwin[[#This Row],[PLOM MW TOTAL BARRA A]]+TBL_CalcDarwin[[#This Row],[PLOM MW TOTAL BARRA B]]</f>
        <v>148.62200000000001</v>
      </c>
      <c r="F173" s="34">
        <f>TBL_CalcDarwin[[#This Row],[PLOME MW TOTAL BARRA A]]+TBL_CalcDarwin[[#This Row],[PLOME MW TOTAL BARRA B]]</f>
        <v>5.6029999999999998</v>
      </c>
      <c r="G173" s="48">
        <f>'Plantilla Datos'!D178</f>
        <v>7.2</v>
      </c>
      <c r="H173" s="48">
        <f>'Plantilla Datos'!E178</f>
        <v>9.1</v>
      </c>
      <c r="I173" s="49">
        <f>'Plantilla Datos'!F178</f>
        <v>15.5</v>
      </c>
      <c r="J173" s="47">
        <f>CEILING('Plantilla Datos'!$L$3*TBL_CalcDarwin[[#This Row],[Darwin Gusts
m/s]],0.5)</f>
        <v>7</v>
      </c>
      <c r="K173" s="47">
        <f>CEILING('Plantilla Datos'!$L$4*TBL_CalcDarwin[[#This Row],[Darwin Gusts
m/s]],0.5)</f>
        <v>8</v>
      </c>
      <c r="L173" s="47">
        <f>CEILING(TBL_CalcDarwin[[#This Row],[Darwin Gusts
m/s]],0.5)</f>
        <v>9.5</v>
      </c>
      <c r="M1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73" s="41">
        <f>INDEX(Curva_Temp[Temp],MATCH(TBL_CalcDarwin[[#This Row],[Darwin Temp.
°C]],Curva_Temp[Temp]))</f>
        <v>15</v>
      </c>
      <c r="R173" s="41">
        <f>INDEX(Curva_Temp[Warranted Power Curve for 
1.194Kg/m3 air density '[kW']
SG 5.0-145 (AM+1, 5.2MW) AT 
90M],MATCH(TBL_CalcDarwin[[#This Row],[Darwin Temp.
°C]],Curva_Temp[Temp]))</f>
        <v>5200</v>
      </c>
      <c r="S173" s="41" cm="1">
        <f t="array" ref="S173">INDEX(Curva_Temp[Temp],MATCH(TBL_CalcDarwin[[#This Row],[Darwin Temp.
°C]],Curva_Temp[Temp])+1)</f>
        <v>20</v>
      </c>
      <c r="T173" s="41" cm="1">
        <f t="array" ref="T173">INDEX(Curva_Temp[Warranted Power Curve for 
1.194Kg/m3 air density '[kW']
SG 5.0-145 (AM+1, 5.2MW) AT 
90M],MATCH(TBL_CalcDarwin[[#This Row],[Darwin Temp.
°C]],Curva_Temp[Temp])+1)</f>
        <v>5000</v>
      </c>
      <c r="U1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73" s="41">
        <f>INDEX(Curva_Temp[Temp],MATCH(TBL_CalcDarwin[[#This Row],[Darwin Temp.
°C]],Curva_Temp[Temp]))</f>
        <v>15</v>
      </c>
      <c r="Z173" s="41">
        <f>INDEX(Curva_Temp[Warranted Power Curve for 
1.194Kg/m3 air density '[kW']
SG 5.0-145 (AM 0, 5.0MW) AT 
90M],MATCH(TBL_CalcDarwin[[#This Row],[Darwin Temp.
°C]],Curva_Temp[Temp]))</f>
        <v>5000</v>
      </c>
      <c r="AA173" s="41" cm="1">
        <f t="array" ref="AA173">INDEX(Curva_Temp[Temp],MATCH(TBL_CalcDarwin[[#This Row],[Darwin Temp.
°C]],Curva_Temp[Temp])+1)</f>
        <v>20</v>
      </c>
      <c r="AB173" s="41" cm="1">
        <f t="array" ref="AB173">INDEX(Curva_Temp[Warranted Power Curve for 
1.194Kg/m3 air density '[kW']
SG 5.0-145 (AM 0, 5.0MW) AT 
90M],MATCH(TBL_CalcDarwin[[#This Row],[Darwin Temp.
°C]],Curva_Temp[Temp])+1)</f>
        <v>5000</v>
      </c>
      <c r="AC173" s="45">
        <f>HLOOKUP(TBL_CalcDarwin[[#This Row],[Fecha]],'Plantilla AEG ES'!$E$1:$HX$13,2,FALSE)</f>
        <v>5</v>
      </c>
      <c r="AD173" s="45">
        <f>HLOOKUP(TBL_CalcDarwin[[#This Row],[Fecha]],'Plantilla AEG ES'!$E$1:$HX$13,3,FALSE)</f>
        <v>7</v>
      </c>
      <c r="AE173" s="45">
        <f>HLOOKUP(TBL_CalcDarwin[[#This Row],[Fecha]],'Plantilla AEG ES'!$E$1:$HX$13,4,FALSE)</f>
        <v>11</v>
      </c>
      <c r="AF173" s="45">
        <f>HLOOKUP(TBL_CalcDarwin[[#This Row],[Fecha]],'Plantilla AEG ES'!$E$1:$HX$13,5,FALSE)</f>
        <v>1</v>
      </c>
      <c r="AG173" s="45">
        <f>HLOOKUP(TBL_CalcDarwin[[#This Row],[Fecha]],'Plantilla AEG ES'!$E$1:$HX$13,6,FALSE)</f>
        <v>1</v>
      </c>
      <c r="AH173" s="45">
        <f>HLOOKUP(TBL_CalcDarwin[[#This Row],[Fecha]],'Plantilla AEG ES'!$E$1:$HX$13,7,FALSE)</f>
        <v>0</v>
      </c>
      <c r="AI173" s="46">
        <f>HLOOKUP(TBL_CalcDarwin[[#This Row],[Fecha]],'Plantilla AEG ES'!$E$1:$HX$13,8,FALSE)</f>
        <v>0</v>
      </c>
      <c r="AJ173" s="46">
        <f>HLOOKUP(TBL_CalcDarwin[[#This Row],[Fecha]],'Plantilla AEG ES'!$E$1:$HX$13,9,FALSE)</f>
        <v>3</v>
      </c>
      <c r="AK173" s="46">
        <f>HLOOKUP(TBL_CalcDarwin[[#This Row],[Fecha]],'Plantilla AEG ES'!$E$1:$HX$13,10,FALSE)</f>
        <v>12</v>
      </c>
      <c r="AL173" s="46">
        <f>HLOOKUP(TBL_CalcDarwin[[#This Row],[Fecha]],'Plantilla AEG ES'!$E$1:$HX$13,11,FALSE)</f>
        <v>1</v>
      </c>
      <c r="AM173" s="46">
        <f>HLOOKUP(TBL_CalcDarwin[[#This Row],[Fecha]],'Plantilla AEG ES'!$E$1:$HX$13,12,FALSE)</f>
        <v>7</v>
      </c>
      <c r="AN173" s="46">
        <f>HLOOKUP(TBL_CalcDarwin[[#This Row],[Fecha]],'Plantilla AEG ES'!$E$1:$HX$13,13,FALSE)</f>
        <v>1</v>
      </c>
      <c r="AO173" s="37">
        <f>TBL_CalcDarwin[[#This Row],[Lomitas - Barra A - 5.2 - Cerro]]+TBL_CalcDarwin[[#This Row],[Lomitas - Barra A - 5.2 - Medio]]+TBL_CalcDarwin[[#This Row],[Lomitas - Barra A - 5.2 - Mar]]</f>
        <v>23</v>
      </c>
      <c r="AP1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1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73" s="37">
        <f>TBL_CalcDarwin[[#This Row],[Expansión - Barra A - 5.2 - Cerro]]+TBL_CalcDarwin[[#This Row],[Expansión - Barra A - 5.2 - Medio]]+TBL_CalcDarwin[[#This Row],[Expansión - Barra A - 5.2 - Mar]]</f>
        <v>2</v>
      </c>
      <c r="AT173" s="37">
        <f>TBL_CalcDarwin[[#This Row],[Expansión - Barra B - 5.2 - Cerro]]</f>
        <v>1</v>
      </c>
      <c r="AU1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73" s="29">
        <f>TBL_CalcDarwin[[#This Row],[Expansión - Barra B - 5.2 - Cerro]]*TBL_CalcDarwin[[#This Row],[AEG 5.2 MW Cerro]]</f>
        <v>1.597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5">
        <f t="shared" si="13"/>
        <v>45591.166666666257</v>
      </c>
      <c r="C174" s="17">
        <f t="shared" ref="C174:C190" si="17">C173+TIME(1,0,0)</f>
        <v>7.1666666666666829</v>
      </c>
      <c r="D174" s="34">
        <f>TBL_CalcDarwin[[#This Row],[Darwin PLOM
MW]]+TBL_CalcDarwin[[#This Row],[Darwin PLOME
MW]]</f>
        <v>154.22500000000002</v>
      </c>
      <c r="E174" s="34">
        <f>TBL_CalcDarwin[[#This Row],[PLOM MW TOTAL BARRA A]]+TBL_CalcDarwin[[#This Row],[PLOM MW TOTAL BARRA B]]</f>
        <v>148.62200000000001</v>
      </c>
      <c r="F174" s="34">
        <f>TBL_CalcDarwin[[#This Row],[PLOME MW TOTAL BARRA A]]+TBL_CalcDarwin[[#This Row],[PLOME MW TOTAL BARRA B]]</f>
        <v>5.6029999999999998</v>
      </c>
      <c r="G174" s="48">
        <f>'Plantilla Datos'!D179</f>
        <v>7.3</v>
      </c>
      <c r="H174" s="48">
        <f>'Plantilla Datos'!E179</f>
        <v>9.1999999999999993</v>
      </c>
      <c r="I174" s="49">
        <f>'Plantilla Datos'!F179</f>
        <v>15.4</v>
      </c>
      <c r="J174" s="47">
        <f>CEILING('Plantilla Datos'!$L$3*TBL_CalcDarwin[[#This Row],[Darwin Gusts
m/s]],0.5)</f>
        <v>7</v>
      </c>
      <c r="K174" s="47">
        <f>CEILING('Plantilla Datos'!$L$4*TBL_CalcDarwin[[#This Row],[Darwin Gusts
m/s]],0.5)</f>
        <v>8</v>
      </c>
      <c r="L174" s="47">
        <f>CEILING(TBL_CalcDarwin[[#This Row],[Darwin Gusts
m/s]],0.5)</f>
        <v>9.5</v>
      </c>
      <c r="M1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74" s="41">
        <f>INDEX(Curva_Temp[Temp],MATCH(TBL_CalcDarwin[[#This Row],[Darwin Temp.
°C]],Curva_Temp[Temp]))</f>
        <v>15</v>
      </c>
      <c r="R174" s="41">
        <f>INDEX(Curva_Temp[Warranted Power Curve for 
1.194Kg/m3 air density '[kW']
SG 5.0-145 (AM+1, 5.2MW) AT 
90M],MATCH(TBL_CalcDarwin[[#This Row],[Darwin Temp.
°C]],Curva_Temp[Temp]))</f>
        <v>5200</v>
      </c>
      <c r="S174" s="41" cm="1">
        <f t="array" ref="S174">INDEX(Curva_Temp[Temp],MATCH(TBL_CalcDarwin[[#This Row],[Darwin Temp.
°C]],Curva_Temp[Temp])+1)</f>
        <v>20</v>
      </c>
      <c r="T174" s="41" cm="1">
        <f t="array" ref="T174">INDEX(Curva_Temp[Warranted Power Curve for 
1.194Kg/m3 air density '[kW']
SG 5.0-145 (AM+1, 5.2MW) AT 
90M],MATCH(TBL_CalcDarwin[[#This Row],[Darwin Temp.
°C]],Curva_Temp[Temp])+1)</f>
        <v>5000</v>
      </c>
      <c r="U1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74" s="41">
        <f>INDEX(Curva_Temp[Temp],MATCH(TBL_CalcDarwin[[#This Row],[Darwin Temp.
°C]],Curva_Temp[Temp]))</f>
        <v>15</v>
      </c>
      <c r="Z174" s="41">
        <f>INDEX(Curva_Temp[Warranted Power Curve for 
1.194Kg/m3 air density '[kW']
SG 5.0-145 (AM 0, 5.0MW) AT 
90M],MATCH(TBL_CalcDarwin[[#This Row],[Darwin Temp.
°C]],Curva_Temp[Temp]))</f>
        <v>5000</v>
      </c>
      <c r="AA174" s="41" cm="1">
        <f t="array" ref="AA174">INDEX(Curva_Temp[Temp],MATCH(TBL_CalcDarwin[[#This Row],[Darwin Temp.
°C]],Curva_Temp[Temp])+1)</f>
        <v>20</v>
      </c>
      <c r="AB174" s="41" cm="1">
        <f t="array" ref="AB174">INDEX(Curva_Temp[Warranted Power Curve for 
1.194Kg/m3 air density '[kW']
SG 5.0-145 (AM 0, 5.0MW) AT 
90M],MATCH(TBL_CalcDarwin[[#This Row],[Darwin Temp.
°C]],Curva_Temp[Temp])+1)</f>
        <v>5000</v>
      </c>
      <c r="AC174" s="45">
        <f>HLOOKUP(TBL_CalcDarwin[[#This Row],[Fecha]],'Plantilla AEG ES'!$E$1:$HX$13,2,FALSE)</f>
        <v>5</v>
      </c>
      <c r="AD174" s="45">
        <f>HLOOKUP(TBL_CalcDarwin[[#This Row],[Fecha]],'Plantilla AEG ES'!$E$1:$HX$13,3,FALSE)</f>
        <v>7</v>
      </c>
      <c r="AE174" s="45">
        <f>HLOOKUP(TBL_CalcDarwin[[#This Row],[Fecha]],'Plantilla AEG ES'!$E$1:$HX$13,4,FALSE)</f>
        <v>11</v>
      </c>
      <c r="AF174" s="45">
        <f>HLOOKUP(TBL_CalcDarwin[[#This Row],[Fecha]],'Plantilla AEG ES'!$E$1:$HX$13,5,FALSE)</f>
        <v>1</v>
      </c>
      <c r="AG174" s="45">
        <f>HLOOKUP(TBL_CalcDarwin[[#This Row],[Fecha]],'Plantilla AEG ES'!$E$1:$HX$13,6,FALSE)</f>
        <v>1</v>
      </c>
      <c r="AH174" s="45">
        <f>HLOOKUP(TBL_CalcDarwin[[#This Row],[Fecha]],'Plantilla AEG ES'!$E$1:$HX$13,7,FALSE)</f>
        <v>0</v>
      </c>
      <c r="AI174" s="46">
        <f>HLOOKUP(TBL_CalcDarwin[[#This Row],[Fecha]],'Plantilla AEG ES'!$E$1:$HX$13,8,FALSE)</f>
        <v>0</v>
      </c>
      <c r="AJ174" s="46">
        <f>HLOOKUP(TBL_CalcDarwin[[#This Row],[Fecha]],'Plantilla AEG ES'!$E$1:$HX$13,9,FALSE)</f>
        <v>3</v>
      </c>
      <c r="AK174" s="46">
        <f>HLOOKUP(TBL_CalcDarwin[[#This Row],[Fecha]],'Plantilla AEG ES'!$E$1:$HX$13,10,FALSE)</f>
        <v>12</v>
      </c>
      <c r="AL174" s="46">
        <f>HLOOKUP(TBL_CalcDarwin[[#This Row],[Fecha]],'Plantilla AEG ES'!$E$1:$HX$13,11,FALSE)</f>
        <v>1</v>
      </c>
      <c r="AM174" s="46">
        <f>HLOOKUP(TBL_CalcDarwin[[#This Row],[Fecha]],'Plantilla AEG ES'!$E$1:$HX$13,12,FALSE)</f>
        <v>7</v>
      </c>
      <c r="AN174" s="46">
        <f>HLOOKUP(TBL_CalcDarwin[[#This Row],[Fecha]],'Plantilla AEG ES'!$E$1:$HX$13,13,FALSE)</f>
        <v>1</v>
      </c>
      <c r="AO174" s="37">
        <f>TBL_CalcDarwin[[#This Row],[Lomitas - Barra A - 5.2 - Cerro]]+TBL_CalcDarwin[[#This Row],[Lomitas - Barra A - 5.2 - Medio]]+TBL_CalcDarwin[[#This Row],[Lomitas - Barra A - 5.2 - Mar]]</f>
        <v>23</v>
      </c>
      <c r="AP1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1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74" s="37">
        <f>TBL_CalcDarwin[[#This Row],[Expansión - Barra A - 5.2 - Cerro]]+TBL_CalcDarwin[[#This Row],[Expansión - Barra A - 5.2 - Medio]]+TBL_CalcDarwin[[#This Row],[Expansión - Barra A - 5.2 - Mar]]</f>
        <v>2</v>
      </c>
      <c r="AT174" s="37">
        <f>TBL_CalcDarwin[[#This Row],[Expansión - Barra B - 5.2 - Cerro]]</f>
        <v>1</v>
      </c>
      <c r="AU1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74" s="29">
        <f>TBL_CalcDarwin[[#This Row],[Expansión - Barra B - 5.2 - Cerro]]*TBL_CalcDarwin[[#This Row],[AEG 5.2 MW Cerro]]</f>
        <v>1.597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5">
        <f t="shared" si="13"/>
        <v>45591.208333332921</v>
      </c>
      <c r="C175" s="17">
        <f t="shared" si="17"/>
        <v>7.2083333333333499</v>
      </c>
      <c r="D175" s="34">
        <f>TBL_CalcDarwin[[#This Row],[Darwin PLOM
MW]]+TBL_CalcDarwin[[#This Row],[Darwin PLOME
MW]]</f>
        <v>154.22500000000002</v>
      </c>
      <c r="E175" s="34">
        <f>TBL_CalcDarwin[[#This Row],[PLOM MW TOTAL BARRA A]]+TBL_CalcDarwin[[#This Row],[PLOM MW TOTAL BARRA B]]</f>
        <v>148.62200000000001</v>
      </c>
      <c r="F175" s="34">
        <f>TBL_CalcDarwin[[#This Row],[PLOME MW TOTAL BARRA A]]+TBL_CalcDarwin[[#This Row],[PLOME MW TOTAL BARRA B]]</f>
        <v>5.6029999999999998</v>
      </c>
      <c r="G175" s="48">
        <f>'Plantilla Datos'!D180</f>
        <v>7.4</v>
      </c>
      <c r="H175" s="48">
        <f>'Plantilla Datos'!E180</f>
        <v>9.3000000000000007</v>
      </c>
      <c r="I175" s="49">
        <f>'Plantilla Datos'!F180</f>
        <v>15.4</v>
      </c>
      <c r="J175" s="47">
        <f>CEILING('Plantilla Datos'!$L$3*TBL_CalcDarwin[[#This Row],[Darwin Gusts
m/s]],0.5)</f>
        <v>7</v>
      </c>
      <c r="K175" s="47">
        <f>CEILING('Plantilla Datos'!$L$4*TBL_CalcDarwin[[#This Row],[Darwin Gusts
m/s]],0.5)</f>
        <v>8</v>
      </c>
      <c r="L175" s="47">
        <f>CEILING(TBL_CalcDarwin[[#This Row],[Darwin Gusts
m/s]],0.5)</f>
        <v>9.5</v>
      </c>
      <c r="M1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75" s="41">
        <f>INDEX(Curva_Temp[Temp],MATCH(TBL_CalcDarwin[[#This Row],[Darwin Temp.
°C]],Curva_Temp[Temp]))</f>
        <v>15</v>
      </c>
      <c r="R175" s="41">
        <f>INDEX(Curva_Temp[Warranted Power Curve for 
1.194Kg/m3 air density '[kW']
SG 5.0-145 (AM+1, 5.2MW) AT 
90M],MATCH(TBL_CalcDarwin[[#This Row],[Darwin Temp.
°C]],Curva_Temp[Temp]))</f>
        <v>5200</v>
      </c>
      <c r="S175" s="41" cm="1">
        <f t="array" ref="S175">INDEX(Curva_Temp[Temp],MATCH(TBL_CalcDarwin[[#This Row],[Darwin Temp.
°C]],Curva_Temp[Temp])+1)</f>
        <v>20</v>
      </c>
      <c r="T175" s="41" cm="1">
        <f t="array" ref="T175">INDEX(Curva_Temp[Warranted Power Curve for 
1.194Kg/m3 air density '[kW']
SG 5.0-145 (AM+1, 5.2MW) AT 
90M],MATCH(TBL_CalcDarwin[[#This Row],[Darwin Temp.
°C]],Curva_Temp[Temp])+1)</f>
        <v>5000</v>
      </c>
      <c r="U1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75" s="41">
        <f>INDEX(Curva_Temp[Temp],MATCH(TBL_CalcDarwin[[#This Row],[Darwin Temp.
°C]],Curva_Temp[Temp]))</f>
        <v>15</v>
      </c>
      <c r="Z175" s="41">
        <f>INDEX(Curva_Temp[Warranted Power Curve for 
1.194Kg/m3 air density '[kW']
SG 5.0-145 (AM 0, 5.0MW) AT 
90M],MATCH(TBL_CalcDarwin[[#This Row],[Darwin Temp.
°C]],Curva_Temp[Temp]))</f>
        <v>5000</v>
      </c>
      <c r="AA175" s="41" cm="1">
        <f t="array" ref="AA175">INDEX(Curva_Temp[Temp],MATCH(TBL_CalcDarwin[[#This Row],[Darwin Temp.
°C]],Curva_Temp[Temp])+1)</f>
        <v>20</v>
      </c>
      <c r="AB175" s="41" cm="1">
        <f t="array" ref="AB175">INDEX(Curva_Temp[Warranted Power Curve for 
1.194Kg/m3 air density '[kW']
SG 5.0-145 (AM 0, 5.0MW) AT 
90M],MATCH(TBL_CalcDarwin[[#This Row],[Darwin Temp.
°C]],Curva_Temp[Temp])+1)</f>
        <v>5000</v>
      </c>
      <c r="AC175" s="45">
        <f>HLOOKUP(TBL_CalcDarwin[[#This Row],[Fecha]],'Plantilla AEG ES'!$E$1:$HX$13,2,FALSE)</f>
        <v>5</v>
      </c>
      <c r="AD175" s="45">
        <f>HLOOKUP(TBL_CalcDarwin[[#This Row],[Fecha]],'Plantilla AEG ES'!$E$1:$HX$13,3,FALSE)</f>
        <v>7</v>
      </c>
      <c r="AE175" s="45">
        <f>HLOOKUP(TBL_CalcDarwin[[#This Row],[Fecha]],'Plantilla AEG ES'!$E$1:$HX$13,4,FALSE)</f>
        <v>11</v>
      </c>
      <c r="AF175" s="45">
        <f>HLOOKUP(TBL_CalcDarwin[[#This Row],[Fecha]],'Plantilla AEG ES'!$E$1:$HX$13,5,FALSE)</f>
        <v>1</v>
      </c>
      <c r="AG175" s="45">
        <f>HLOOKUP(TBL_CalcDarwin[[#This Row],[Fecha]],'Plantilla AEG ES'!$E$1:$HX$13,6,FALSE)</f>
        <v>1</v>
      </c>
      <c r="AH175" s="45">
        <f>HLOOKUP(TBL_CalcDarwin[[#This Row],[Fecha]],'Plantilla AEG ES'!$E$1:$HX$13,7,FALSE)</f>
        <v>0</v>
      </c>
      <c r="AI175" s="46">
        <f>HLOOKUP(TBL_CalcDarwin[[#This Row],[Fecha]],'Plantilla AEG ES'!$E$1:$HX$13,8,FALSE)</f>
        <v>0</v>
      </c>
      <c r="AJ175" s="46">
        <f>HLOOKUP(TBL_CalcDarwin[[#This Row],[Fecha]],'Plantilla AEG ES'!$E$1:$HX$13,9,FALSE)</f>
        <v>3</v>
      </c>
      <c r="AK175" s="46">
        <f>HLOOKUP(TBL_CalcDarwin[[#This Row],[Fecha]],'Plantilla AEG ES'!$E$1:$HX$13,10,FALSE)</f>
        <v>12</v>
      </c>
      <c r="AL175" s="46">
        <f>HLOOKUP(TBL_CalcDarwin[[#This Row],[Fecha]],'Plantilla AEG ES'!$E$1:$HX$13,11,FALSE)</f>
        <v>1</v>
      </c>
      <c r="AM175" s="46">
        <f>HLOOKUP(TBL_CalcDarwin[[#This Row],[Fecha]],'Plantilla AEG ES'!$E$1:$HX$13,12,FALSE)</f>
        <v>7</v>
      </c>
      <c r="AN175" s="46">
        <f>HLOOKUP(TBL_CalcDarwin[[#This Row],[Fecha]],'Plantilla AEG ES'!$E$1:$HX$13,13,FALSE)</f>
        <v>1</v>
      </c>
      <c r="AO175" s="37">
        <f>TBL_CalcDarwin[[#This Row],[Lomitas - Barra A - 5.2 - Cerro]]+TBL_CalcDarwin[[#This Row],[Lomitas - Barra A - 5.2 - Medio]]+TBL_CalcDarwin[[#This Row],[Lomitas - Barra A - 5.2 - Mar]]</f>
        <v>23</v>
      </c>
      <c r="AP1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1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75" s="37">
        <f>TBL_CalcDarwin[[#This Row],[Expansión - Barra A - 5.2 - Cerro]]+TBL_CalcDarwin[[#This Row],[Expansión - Barra A - 5.2 - Medio]]+TBL_CalcDarwin[[#This Row],[Expansión - Barra A - 5.2 - Mar]]</f>
        <v>2</v>
      </c>
      <c r="AT175" s="37">
        <f>TBL_CalcDarwin[[#This Row],[Expansión - Barra B - 5.2 - Cerro]]</f>
        <v>1</v>
      </c>
      <c r="AU1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75" s="29">
        <f>TBL_CalcDarwin[[#This Row],[Expansión - Barra B - 5.2 - Cerro]]*TBL_CalcDarwin[[#This Row],[AEG 5.2 MW Cerro]]</f>
        <v>1.597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5">
        <f t="shared" si="13"/>
        <v>45591.249999999585</v>
      </c>
      <c r="C176" s="17">
        <f t="shared" si="17"/>
        <v>7.2500000000000169</v>
      </c>
      <c r="D176" s="34">
        <f>TBL_CalcDarwin[[#This Row],[Darwin PLOM
MW]]+TBL_CalcDarwin[[#This Row],[Darwin PLOME
MW]]</f>
        <v>159.38400000000001</v>
      </c>
      <c r="E176" s="34">
        <f>TBL_CalcDarwin[[#This Row],[PLOM MW TOTAL BARRA A]]+TBL_CalcDarwin[[#This Row],[PLOM MW TOTAL BARRA B]]</f>
        <v>153.31200000000001</v>
      </c>
      <c r="F176" s="34">
        <f>TBL_CalcDarwin[[#This Row],[PLOME MW TOTAL BARRA A]]+TBL_CalcDarwin[[#This Row],[PLOME MW TOTAL BARRA B]]</f>
        <v>6.0719999999999992</v>
      </c>
      <c r="G176" s="48">
        <f>'Plantilla Datos'!D181</f>
        <v>7.5</v>
      </c>
      <c r="H176" s="48">
        <f>'Plantilla Datos'!E181</f>
        <v>9.4</v>
      </c>
      <c r="I176" s="49">
        <f>'Plantilla Datos'!F181</f>
        <v>15.6</v>
      </c>
      <c r="J176" s="47">
        <f>CEILING('Plantilla Datos'!$L$3*TBL_CalcDarwin[[#This Row],[Darwin Gusts
m/s]],0.5)</f>
        <v>7</v>
      </c>
      <c r="K176" s="47">
        <f>CEILING('Plantilla Datos'!$L$4*TBL_CalcDarwin[[#This Row],[Darwin Gusts
m/s]],0.5)</f>
        <v>8.5</v>
      </c>
      <c r="L176" s="47">
        <f>CEILING(TBL_CalcDarwin[[#This Row],[Darwin Gusts
m/s]],0.5)</f>
        <v>9.5</v>
      </c>
      <c r="M1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76" s="41">
        <f>INDEX(Curva_Temp[Temp],MATCH(TBL_CalcDarwin[[#This Row],[Darwin Temp.
°C]],Curva_Temp[Temp]))</f>
        <v>15</v>
      </c>
      <c r="R176" s="41">
        <f>INDEX(Curva_Temp[Warranted Power Curve for 
1.194Kg/m3 air density '[kW']
SG 5.0-145 (AM+1, 5.2MW) AT 
90M],MATCH(TBL_CalcDarwin[[#This Row],[Darwin Temp.
°C]],Curva_Temp[Temp]))</f>
        <v>5200</v>
      </c>
      <c r="S176" s="41" cm="1">
        <f t="array" ref="S176">INDEX(Curva_Temp[Temp],MATCH(TBL_CalcDarwin[[#This Row],[Darwin Temp.
°C]],Curva_Temp[Temp])+1)</f>
        <v>20</v>
      </c>
      <c r="T176" s="41" cm="1">
        <f t="array" ref="T176">INDEX(Curva_Temp[Warranted Power Curve for 
1.194Kg/m3 air density '[kW']
SG 5.0-145 (AM+1, 5.2MW) AT 
90M],MATCH(TBL_CalcDarwin[[#This Row],[Darwin Temp.
°C]],Curva_Temp[Temp])+1)</f>
        <v>5000</v>
      </c>
      <c r="U1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76" s="41">
        <f>INDEX(Curva_Temp[Temp],MATCH(TBL_CalcDarwin[[#This Row],[Darwin Temp.
°C]],Curva_Temp[Temp]))</f>
        <v>15</v>
      </c>
      <c r="Z176" s="41">
        <f>INDEX(Curva_Temp[Warranted Power Curve for 
1.194Kg/m3 air density '[kW']
SG 5.0-145 (AM 0, 5.0MW) AT 
90M],MATCH(TBL_CalcDarwin[[#This Row],[Darwin Temp.
°C]],Curva_Temp[Temp]))</f>
        <v>5000</v>
      </c>
      <c r="AA176" s="41" cm="1">
        <f t="array" ref="AA176">INDEX(Curva_Temp[Temp],MATCH(TBL_CalcDarwin[[#This Row],[Darwin Temp.
°C]],Curva_Temp[Temp])+1)</f>
        <v>20</v>
      </c>
      <c r="AB176" s="41" cm="1">
        <f t="array" ref="AB176">INDEX(Curva_Temp[Warranted Power Curve for 
1.194Kg/m3 air density '[kW']
SG 5.0-145 (AM 0, 5.0MW) AT 
90M],MATCH(TBL_CalcDarwin[[#This Row],[Darwin Temp.
°C]],Curva_Temp[Temp])+1)</f>
        <v>5000</v>
      </c>
      <c r="AC176" s="45">
        <f>HLOOKUP(TBL_CalcDarwin[[#This Row],[Fecha]],'Plantilla AEG ES'!$E$1:$HX$13,2,FALSE)</f>
        <v>5</v>
      </c>
      <c r="AD176" s="45">
        <f>HLOOKUP(TBL_CalcDarwin[[#This Row],[Fecha]],'Plantilla AEG ES'!$E$1:$HX$13,3,FALSE)</f>
        <v>7</v>
      </c>
      <c r="AE176" s="45">
        <f>HLOOKUP(TBL_CalcDarwin[[#This Row],[Fecha]],'Plantilla AEG ES'!$E$1:$HX$13,4,FALSE)</f>
        <v>11</v>
      </c>
      <c r="AF176" s="45">
        <f>HLOOKUP(TBL_CalcDarwin[[#This Row],[Fecha]],'Plantilla AEG ES'!$E$1:$HX$13,5,FALSE)</f>
        <v>1</v>
      </c>
      <c r="AG176" s="45">
        <f>HLOOKUP(TBL_CalcDarwin[[#This Row],[Fecha]],'Plantilla AEG ES'!$E$1:$HX$13,6,FALSE)</f>
        <v>1</v>
      </c>
      <c r="AH176" s="45">
        <f>HLOOKUP(TBL_CalcDarwin[[#This Row],[Fecha]],'Plantilla AEG ES'!$E$1:$HX$13,7,FALSE)</f>
        <v>0</v>
      </c>
      <c r="AI176" s="46">
        <f>HLOOKUP(TBL_CalcDarwin[[#This Row],[Fecha]],'Plantilla AEG ES'!$E$1:$HX$13,8,FALSE)</f>
        <v>0</v>
      </c>
      <c r="AJ176" s="46">
        <f>HLOOKUP(TBL_CalcDarwin[[#This Row],[Fecha]],'Plantilla AEG ES'!$E$1:$HX$13,9,FALSE)</f>
        <v>3</v>
      </c>
      <c r="AK176" s="46">
        <f>HLOOKUP(TBL_CalcDarwin[[#This Row],[Fecha]],'Plantilla AEG ES'!$E$1:$HX$13,10,FALSE)</f>
        <v>12</v>
      </c>
      <c r="AL176" s="46">
        <f>HLOOKUP(TBL_CalcDarwin[[#This Row],[Fecha]],'Plantilla AEG ES'!$E$1:$HX$13,11,FALSE)</f>
        <v>1</v>
      </c>
      <c r="AM176" s="46">
        <f>HLOOKUP(TBL_CalcDarwin[[#This Row],[Fecha]],'Plantilla AEG ES'!$E$1:$HX$13,12,FALSE)</f>
        <v>7</v>
      </c>
      <c r="AN176" s="46">
        <f>HLOOKUP(TBL_CalcDarwin[[#This Row],[Fecha]],'Plantilla AEG ES'!$E$1:$HX$13,13,FALSE)</f>
        <v>1</v>
      </c>
      <c r="AO176" s="37">
        <f>TBL_CalcDarwin[[#This Row],[Lomitas - Barra A - 5.2 - Cerro]]+TBL_CalcDarwin[[#This Row],[Lomitas - Barra A - 5.2 - Medio]]+TBL_CalcDarwin[[#This Row],[Lomitas - Barra A - 5.2 - Mar]]</f>
        <v>23</v>
      </c>
      <c r="AP1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70.393000000000001</v>
      </c>
      <c r="AR1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76" s="37">
        <f>TBL_CalcDarwin[[#This Row],[Expansión - Barra A - 5.2 - Cerro]]+TBL_CalcDarwin[[#This Row],[Expansión - Barra A - 5.2 - Medio]]+TBL_CalcDarwin[[#This Row],[Expansión - Barra A - 5.2 - Mar]]</f>
        <v>2</v>
      </c>
      <c r="AT176" s="37">
        <f>TBL_CalcDarwin[[#This Row],[Expansión - Barra B - 5.2 - Cerro]]</f>
        <v>1</v>
      </c>
      <c r="AU1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76" s="29">
        <f>TBL_CalcDarwin[[#This Row],[Expansión - Barra B - 5.2 - Cerro]]*TBL_CalcDarwin[[#This Row],[AEG 5.2 MW Cerro]]</f>
        <v>1.597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5">
        <f t="shared" si="13"/>
        <v>45591.29166666625</v>
      </c>
      <c r="C177" s="17">
        <f t="shared" si="17"/>
        <v>7.2916666666666838</v>
      </c>
      <c r="D177" s="34">
        <f>TBL_CalcDarwin[[#This Row],[Darwin PLOM
MW]]+TBL_CalcDarwin[[#This Row],[Darwin PLOME
MW]]</f>
        <v>159.38400000000001</v>
      </c>
      <c r="E177" s="34">
        <f>TBL_CalcDarwin[[#This Row],[PLOM MW TOTAL BARRA A]]+TBL_CalcDarwin[[#This Row],[PLOM MW TOTAL BARRA B]]</f>
        <v>153.31200000000001</v>
      </c>
      <c r="F177" s="34">
        <f>TBL_CalcDarwin[[#This Row],[PLOME MW TOTAL BARRA A]]+TBL_CalcDarwin[[#This Row],[PLOME MW TOTAL BARRA B]]</f>
        <v>6.0719999999999992</v>
      </c>
      <c r="G177" s="48">
        <f>'Plantilla Datos'!D182</f>
        <v>7.6</v>
      </c>
      <c r="H177" s="48">
        <f>'Plantilla Datos'!E182</f>
        <v>9.5</v>
      </c>
      <c r="I177" s="49">
        <f>'Plantilla Datos'!F182</f>
        <v>15.6</v>
      </c>
      <c r="J177" s="47">
        <f>CEILING('Plantilla Datos'!$L$3*TBL_CalcDarwin[[#This Row],[Darwin Gusts
m/s]],0.5)</f>
        <v>7</v>
      </c>
      <c r="K177" s="47">
        <f>CEILING('Plantilla Datos'!$L$4*TBL_CalcDarwin[[#This Row],[Darwin Gusts
m/s]],0.5)</f>
        <v>8.5</v>
      </c>
      <c r="L177" s="47">
        <f>CEILING(TBL_CalcDarwin[[#This Row],[Darwin Gusts
m/s]],0.5)</f>
        <v>9.5</v>
      </c>
      <c r="M1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77" s="41">
        <f>INDEX(Curva_Temp[Temp],MATCH(TBL_CalcDarwin[[#This Row],[Darwin Temp.
°C]],Curva_Temp[Temp]))</f>
        <v>15</v>
      </c>
      <c r="R177" s="41">
        <f>INDEX(Curva_Temp[Warranted Power Curve for 
1.194Kg/m3 air density '[kW']
SG 5.0-145 (AM+1, 5.2MW) AT 
90M],MATCH(TBL_CalcDarwin[[#This Row],[Darwin Temp.
°C]],Curva_Temp[Temp]))</f>
        <v>5200</v>
      </c>
      <c r="S177" s="41" cm="1">
        <f t="array" ref="S177">INDEX(Curva_Temp[Temp],MATCH(TBL_CalcDarwin[[#This Row],[Darwin Temp.
°C]],Curva_Temp[Temp])+1)</f>
        <v>20</v>
      </c>
      <c r="T177" s="41" cm="1">
        <f t="array" ref="T177">INDEX(Curva_Temp[Warranted Power Curve for 
1.194Kg/m3 air density '[kW']
SG 5.0-145 (AM+1, 5.2MW) AT 
90M],MATCH(TBL_CalcDarwin[[#This Row],[Darwin Temp.
°C]],Curva_Temp[Temp])+1)</f>
        <v>5000</v>
      </c>
      <c r="U1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77" s="41">
        <f>INDEX(Curva_Temp[Temp],MATCH(TBL_CalcDarwin[[#This Row],[Darwin Temp.
°C]],Curva_Temp[Temp]))</f>
        <v>15</v>
      </c>
      <c r="Z177" s="41">
        <f>INDEX(Curva_Temp[Warranted Power Curve for 
1.194Kg/m3 air density '[kW']
SG 5.0-145 (AM 0, 5.0MW) AT 
90M],MATCH(TBL_CalcDarwin[[#This Row],[Darwin Temp.
°C]],Curva_Temp[Temp]))</f>
        <v>5000</v>
      </c>
      <c r="AA177" s="41" cm="1">
        <f t="array" ref="AA177">INDEX(Curva_Temp[Temp],MATCH(TBL_CalcDarwin[[#This Row],[Darwin Temp.
°C]],Curva_Temp[Temp])+1)</f>
        <v>20</v>
      </c>
      <c r="AB177" s="41" cm="1">
        <f t="array" ref="AB177">INDEX(Curva_Temp[Warranted Power Curve for 
1.194Kg/m3 air density '[kW']
SG 5.0-145 (AM 0, 5.0MW) AT 
90M],MATCH(TBL_CalcDarwin[[#This Row],[Darwin Temp.
°C]],Curva_Temp[Temp])+1)</f>
        <v>5000</v>
      </c>
      <c r="AC177" s="45">
        <f>HLOOKUP(TBL_CalcDarwin[[#This Row],[Fecha]],'Plantilla AEG ES'!$E$1:$HX$13,2,FALSE)</f>
        <v>5</v>
      </c>
      <c r="AD177" s="45">
        <f>HLOOKUP(TBL_CalcDarwin[[#This Row],[Fecha]],'Plantilla AEG ES'!$E$1:$HX$13,3,FALSE)</f>
        <v>7</v>
      </c>
      <c r="AE177" s="45">
        <f>HLOOKUP(TBL_CalcDarwin[[#This Row],[Fecha]],'Plantilla AEG ES'!$E$1:$HX$13,4,FALSE)</f>
        <v>11</v>
      </c>
      <c r="AF177" s="45">
        <f>HLOOKUP(TBL_CalcDarwin[[#This Row],[Fecha]],'Plantilla AEG ES'!$E$1:$HX$13,5,FALSE)</f>
        <v>1</v>
      </c>
      <c r="AG177" s="45">
        <f>HLOOKUP(TBL_CalcDarwin[[#This Row],[Fecha]],'Plantilla AEG ES'!$E$1:$HX$13,6,FALSE)</f>
        <v>1</v>
      </c>
      <c r="AH177" s="45">
        <f>HLOOKUP(TBL_CalcDarwin[[#This Row],[Fecha]],'Plantilla AEG ES'!$E$1:$HX$13,7,FALSE)</f>
        <v>0</v>
      </c>
      <c r="AI177" s="46">
        <f>HLOOKUP(TBL_CalcDarwin[[#This Row],[Fecha]],'Plantilla AEG ES'!$E$1:$HX$13,8,FALSE)</f>
        <v>0</v>
      </c>
      <c r="AJ177" s="46">
        <f>HLOOKUP(TBL_CalcDarwin[[#This Row],[Fecha]],'Plantilla AEG ES'!$E$1:$HX$13,9,FALSE)</f>
        <v>3</v>
      </c>
      <c r="AK177" s="46">
        <f>HLOOKUP(TBL_CalcDarwin[[#This Row],[Fecha]],'Plantilla AEG ES'!$E$1:$HX$13,10,FALSE)</f>
        <v>12</v>
      </c>
      <c r="AL177" s="46">
        <f>HLOOKUP(TBL_CalcDarwin[[#This Row],[Fecha]],'Plantilla AEG ES'!$E$1:$HX$13,11,FALSE)</f>
        <v>1</v>
      </c>
      <c r="AM177" s="46">
        <f>HLOOKUP(TBL_CalcDarwin[[#This Row],[Fecha]],'Plantilla AEG ES'!$E$1:$HX$13,12,FALSE)</f>
        <v>7</v>
      </c>
      <c r="AN177" s="46">
        <f>HLOOKUP(TBL_CalcDarwin[[#This Row],[Fecha]],'Plantilla AEG ES'!$E$1:$HX$13,13,FALSE)</f>
        <v>1</v>
      </c>
      <c r="AO177" s="37">
        <f>TBL_CalcDarwin[[#This Row],[Lomitas - Barra A - 5.2 - Cerro]]+TBL_CalcDarwin[[#This Row],[Lomitas - Barra A - 5.2 - Medio]]+TBL_CalcDarwin[[#This Row],[Lomitas - Barra A - 5.2 - Mar]]</f>
        <v>23</v>
      </c>
      <c r="AP1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70.393000000000001</v>
      </c>
      <c r="AR1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77" s="37">
        <f>TBL_CalcDarwin[[#This Row],[Expansión - Barra A - 5.2 - Cerro]]+TBL_CalcDarwin[[#This Row],[Expansión - Barra A - 5.2 - Medio]]+TBL_CalcDarwin[[#This Row],[Expansión - Barra A - 5.2 - Mar]]</f>
        <v>2</v>
      </c>
      <c r="AT177" s="37">
        <f>TBL_CalcDarwin[[#This Row],[Expansión - Barra B - 5.2 - Cerro]]</f>
        <v>1</v>
      </c>
      <c r="AU1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77" s="29">
        <f>TBL_CalcDarwin[[#This Row],[Expansión - Barra B - 5.2 - Cerro]]*TBL_CalcDarwin[[#This Row],[AEG 5.2 MW Cerro]]</f>
        <v>1.597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5">
        <f t="shared" si="13"/>
        <v>45591.333333332914</v>
      </c>
      <c r="C178" s="17">
        <f t="shared" si="17"/>
        <v>7.3333333333333508</v>
      </c>
      <c r="D178" s="34">
        <f>TBL_CalcDarwin[[#This Row],[Darwin PLOM
MW]]+TBL_CalcDarwin[[#This Row],[Darwin PLOME
MW]]</f>
        <v>175.49299999999999</v>
      </c>
      <c r="E178" s="34">
        <f>TBL_CalcDarwin[[#This Row],[PLOM MW TOTAL BARRA A]]+TBL_CalcDarwin[[#This Row],[PLOM MW TOTAL BARRA B]]</f>
        <v>168.65899999999999</v>
      </c>
      <c r="F178" s="34">
        <f>TBL_CalcDarwin[[#This Row],[PLOME MW TOTAL BARRA A]]+TBL_CalcDarwin[[#This Row],[PLOME MW TOTAL BARRA B]]</f>
        <v>6.8339999999999996</v>
      </c>
      <c r="G178" s="48">
        <f>'Plantilla Datos'!D183</f>
        <v>7.9</v>
      </c>
      <c r="H178" s="48">
        <f>'Plantilla Datos'!E183</f>
        <v>9.8000000000000007</v>
      </c>
      <c r="I178" s="49">
        <f>'Plantilla Datos'!F183</f>
        <v>16.2</v>
      </c>
      <c r="J178" s="47">
        <f>CEILING('Plantilla Datos'!$L$3*TBL_CalcDarwin[[#This Row],[Darwin Gusts
m/s]],0.5)</f>
        <v>7.5</v>
      </c>
      <c r="K178" s="47">
        <f>CEILING('Plantilla Datos'!$L$4*TBL_CalcDarwin[[#This Row],[Darwin Gusts
m/s]],0.5)</f>
        <v>8.5</v>
      </c>
      <c r="L178" s="47">
        <f>CEILING(TBL_CalcDarwin[[#This Row],[Darwin Gusts
m/s]],0.5)</f>
        <v>10</v>
      </c>
      <c r="M1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78" s="41">
        <f>INDEX(Curva_Temp[Temp],MATCH(TBL_CalcDarwin[[#This Row],[Darwin Temp.
°C]],Curva_Temp[Temp]))</f>
        <v>15</v>
      </c>
      <c r="R178" s="41">
        <f>INDEX(Curva_Temp[Warranted Power Curve for 
1.194Kg/m3 air density '[kW']
SG 5.0-145 (AM+1, 5.2MW) AT 
90M],MATCH(TBL_CalcDarwin[[#This Row],[Darwin Temp.
°C]],Curva_Temp[Temp]))</f>
        <v>5200</v>
      </c>
      <c r="S178" s="41" cm="1">
        <f t="array" ref="S178">INDEX(Curva_Temp[Temp],MATCH(TBL_CalcDarwin[[#This Row],[Darwin Temp.
°C]],Curva_Temp[Temp])+1)</f>
        <v>20</v>
      </c>
      <c r="T178" s="41" cm="1">
        <f t="array" ref="T178">INDEX(Curva_Temp[Warranted Power Curve for 
1.194Kg/m3 air density '[kW']
SG 5.0-145 (AM+1, 5.2MW) AT 
90M],MATCH(TBL_CalcDarwin[[#This Row],[Darwin Temp.
°C]],Curva_Temp[Temp])+1)</f>
        <v>5000</v>
      </c>
      <c r="U1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78" s="41">
        <f>INDEX(Curva_Temp[Temp],MATCH(TBL_CalcDarwin[[#This Row],[Darwin Temp.
°C]],Curva_Temp[Temp]))</f>
        <v>15</v>
      </c>
      <c r="Z178" s="41">
        <f>INDEX(Curva_Temp[Warranted Power Curve for 
1.194Kg/m3 air density '[kW']
SG 5.0-145 (AM 0, 5.0MW) AT 
90M],MATCH(TBL_CalcDarwin[[#This Row],[Darwin Temp.
°C]],Curva_Temp[Temp]))</f>
        <v>5000</v>
      </c>
      <c r="AA178" s="41" cm="1">
        <f t="array" ref="AA178">INDEX(Curva_Temp[Temp],MATCH(TBL_CalcDarwin[[#This Row],[Darwin Temp.
°C]],Curva_Temp[Temp])+1)</f>
        <v>20</v>
      </c>
      <c r="AB178" s="41" cm="1">
        <f t="array" ref="AB178">INDEX(Curva_Temp[Warranted Power Curve for 
1.194Kg/m3 air density '[kW']
SG 5.0-145 (AM 0, 5.0MW) AT 
90M],MATCH(TBL_CalcDarwin[[#This Row],[Darwin Temp.
°C]],Curva_Temp[Temp])+1)</f>
        <v>5000</v>
      </c>
      <c r="AC178" s="45">
        <f>HLOOKUP(TBL_CalcDarwin[[#This Row],[Fecha]],'Plantilla AEG ES'!$E$1:$HX$13,2,FALSE)</f>
        <v>5</v>
      </c>
      <c r="AD178" s="45">
        <f>HLOOKUP(TBL_CalcDarwin[[#This Row],[Fecha]],'Plantilla AEG ES'!$E$1:$HX$13,3,FALSE)</f>
        <v>7</v>
      </c>
      <c r="AE178" s="45">
        <f>HLOOKUP(TBL_CalcDarwin[[#This Row],[Fecha]],'Plantilla AEG ES'!$E$1:$HX$13,4,FALSE)</f>
        <v>11</v>
      </c>
      <c r="AF178" s="45">
        <f>HLOOKUP(TBL_CalcDarwin[[#This Row],[Fecha]],'Plantilla AEG ES'!$E$1:$HX$13,5,FALSE)</f>
        <v>1</v>
      </c>
      <c r="AG178" s="45">
        <f>HLOOKUP(TBL_CalcDarwin[[#This Row],[Fecha]],'Plantilla AEG ES'!$E$1:$HX$13,6,FALSE)</f>
        <v>1</v>
      </c>
      <c r="AH178" s="45">
        <f>HLOOKUP(TBL_CalcDarwin[[#This Row],[Fecha]],'Plantilla AEG ES'!$E$1:$HX$13,7,FALSE)</f>
        <v>0</v>
      </c>
      <c r="AI178" s="46">
        <f>HLOOKUP(TBL_CalcDarwin[[#This Row],[Fecha]],'Plantilla AEG ES'!$E$1:$HX$13,8,FALSE)</f>
        <v>0</v>
      </c>
      <c r="AJ178" s="46">
        <f>HLOOKUP(TBL_CalcDarwin[[#This Row],[Fecha]],'Plantilla AEG ES'!$E$1:$HX$13,9,FALSE)</f>
        <v>3</v>
      </c>
      <c r="AK178" s="46">
        <f>HLOOKUP(TBL_CalcDarwin[[#This Row],[Fecha]],'Plantilla AEG ES'!$E$1:$HX$13,10,FALSE)</f>
        <v>12</v>
      </c>
      <c r="AL178" s="46">
        <f>HLOOKUP(TBL_CalcDarwin[[#This Row],[Fecha]],'Plantilla AEG ES'!$E$1:$HX$13,11,FALSE)</f>
        <v>1</v>
      </c>
      <c r="AM178" s="46">
        <f>HLOOKUP(TBL_CalcDarwin[[#This Row],[Fecha]],'Plantilla AEG ES'!$E$1:$HX$13,12,FALSE)</f>
        <v>7</v>
      </c>
      <c r="AN178" s="46">
        <f>HLOOKUP(TBL_CalcDarwin[[#This Row],[Fecha]],'Plantilla AEG ES'!$E$1:$HX$13,13,FALSE)</f>
        <v>1</v>
      </c>
      <c r="AO178" s="37">
        <f>TBL_CalcDarwin[[#This Row],[Lomitas - Barra A - 5.2 - Cerro]]+TBL_CalcDarwin[[#This Row],[Lomitas - Barra A - 5.2 - Medio]]+TBL_CalcDarwin[[#This Row],[Lomitas - Barra A - 5.2 - Mar]]</f>
        <v>23</v>
      </c>
      <c r="AP1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77.16</v>
      </c>
      <c r="AR1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78" s="37">
        <f>TBL_CalcDarwin[[#This Row],[Expansión - Barra A - 5.2 - Cerro]]+TBL_CalcDarwin[[#This Row],[Expansión - Barra A - 5.2 - Medio]]+TBL_CalcDarwin[[#This Row],[Expansión - Barra A - 5.2 - Mar]]</f>
        <v>2</v>
      </c>
      <c r="AT178" s="37">
        <f>TBL_CalcDarwin[[#This Row],[Expansión - Barra B - 5.2 - Cerro]]</f>
        <v>1</v>
      </c>
      <c r="AU1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78" s="29">
        <f>TBL_CalcDarwin[[#This Row],[Expansión - Barra B - 5.2 - Cerro]]*TBL_CalcDarwin[[#This Row],[AEG 5.2 MW Cerro]]</f>
        <v>1.978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5">
        <f t="shared" si="13"/>
        <v>45591.374999999578</v>
      </c>
      <c r="C179" s="17">
        <f t="shared" si="17"/>
        <v>7.3750000000000178</v>
      </c>
      <c r="D179" s="34">
        <f>TBL_CalcDarwin[[#This Row],[Darwin PLOM
MW]]+TBL_CalcDarwin[[#This Row],[Darwin PLOME
MW]]</f>
        <v>191.90899999999999</v>
      </c>
      <c r="E179" s="34">
        <f>TBL_CalcDarwin[[#This Row],[PLOM MW TOTAL BARRA A]]+TBL_CalcDarwin[[#This Row],[PLOM MW TOTAL BARRA B]]</f>
        <v>184.58699999999999</v>
      </c>
      <c r="F179" s="34">
        <f>TBL_CalcDarwin[[#This Row],[PLOME MW TOTAL BARRA A]]+TBL_CalcDarwin[[#This Row],[PLOME MW TOTAL BARRA B]]</f>
        <v>7.3220000000000001</v>
      </c>
      <c r="G179" s="48">
        <f>'Plantilla Datos'!D184</f>
        <v>8.1</v>
      </c>
      <c r="H179" s="48">
        <f>'Plantilla Datos'!E184</f>
        <v>10.199999999999999</v>
      </c>
      <c r="I179" s="49">
        <f>'Plantilla Datos'!F184</f>
        <v>16.8</v>
      </c>
      <c r="J179" s="47">
        <f>CEILING('Plantilla Datos'!$L$3*TBL_CalcDarwin[[#This Row],[Darwin Gusts
m/s]],0.5)</f>
        <v>7.5</v>
      </c>
      <c r="K179" s="47">
        <f>CEILING('Plantilla Datos'!$L$4*TBL_CalcDarwin[[#This Row],[Darwin Gusts
m/s]],0.5)</f>
        <v>9</v>
      </c>
      <c r="L179" s="47">
        <f>CEILING(TBL_CalcDarwin[[#This Row],[Darwin Gusts
m/s]],0.5)</f>
        <v>10.5</v>
      </c>
      <c r="M1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79" s="41">
        <f>INDEX(Curva_Temp[Temp],MATCH(TBL_CalcDarwin[[#This Row],[Darwin Temp.
°C]],Curva_Temp[Temp]))</f>
        <v>15</v>
      </c>
      <c r="R179" s="41">
        <f>INDEX(Curva_Temp[Warranted Power Curve for 
1.194Kg/m3 air density '[kW']
SG 5.0-145 (AM+1, 5.2MW) AT 
90M],MATCH(TBL_CalcDarwin[[#This Row],[Darwin Temp.
°C]],Curva_Temp[Temp]))</f>
        <v>5200</v>
      </c>
      <c r="S179" s="41" cm="1">
        <f t="array" ref="S179">INDEX(Curva_Temp[Temp],MATCH(TBL_CalcDarwin[[#This Row],[Darwin Temp.
°C]],Curva_Temp[Temp])+1)</f>
        <v>20</v>
      </c>
      <c r="T179" s="41" cm="1">
        <f t="array" ref="T179">INDEX(Curva_Temp[Warranted Power Curve for 
1.194Kg/m3 air density '[kW']
SG 5.0-145 (AM+1, 5.2MW) AT 
90M],MATCH(TBL_CalcDarwin[[#This Row],[Darwin Temp.
°C]],Curva_Temp[Temp])+1)</f>
        <v>5000</v>
      </c>
      <c r="U1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79" s="41">
        <f>INDEX(Curva_Temp[Temp],MATCH(TBL_CalcDarwin[[#This Row],[Darwin Temp.
°C]],Curva_Temp[Temp]))</f>
        <v>15</v>
      </c>
      <c r="Z179" s="41">
        <f>INDEX(Curva_Temp[Warranted Power Curve for 
1.194Kg/m3 air density '[kW']
SG 5.0-145 (AM 0, 5.0MW) AT 
90M],MATCH(TBL_CalcDarwin[[#This Row],[Darwin Temp.
°C]],Curva_Temp[Temp]))</f>
        <v>5000</v>
      </c>
      <c r="AA179" s="41" cm="1">
        <f t="array" ref="AA179">INDEX(Curva_Temp[Temp],MATCH(TBL_CalcDarwin[[#This Row],[Darwin Temp.
°C]],Curva_Temp[Temp])+1)</f>
        <v>20</v>
      </c>
      <c r="AB179" s="41" cm="1">
        <f t="array" ref="AB179">INDEX(Curva_Temp[Warranted Power Curve for 
1.194Kg/m3 air density '[kW']
SG 5.0-145 (AM 0, 5.0MW) AT 
90M],MATCH(TBL_CalcDarwin[[#This Row],[Darwin Temp.
°C]],Curva_Temp[Temp])+1)</f>
        <v>5000</v>
      </c>
      <c r="AC179" s="45">
        <f>HLOOKUP(TBL_CalcDarwin[[#This Row],[Fecha]],'Plantilla AEG ES'!$E$1:$HX$13,2,FALSE)</f>
        <v>5</v>
      </c>
      <c r="AD179" s="45">
        <f>HLOOKUP(TBL_CalcDarwin[[#This Row],[Fecha]],'Plantilla AEG ES'!$E$1:$HX$13,3,FALSE)</f>
        <v>7</v>
      </c>
      <c r="AE179" s="45">
        <f>HLOOKUP(TBL_CalcDarwin[[#This Row],[Fecha]],'Plantilla AEG ES'!$E$1:$HX$13,4,FALSE)</f>
        <v>11</v>
      </c>
      <c r="AF179" s="45">
        <f>HLOOKUP(TBL_CalcDarwin[[#This Row],[Fecha]],'Plantilla AEG ES'!$E$1:$HX$13,5,FALSE)</f>
        <v>1</v>
      </c>
      <c r="AG179" s="45">
        <f>HLOOKUP(TBL_CalcDarwin[[#This Row],[Fecha]],'Plantilla AEG ES'!$E$1:$HX$13,6,FALSE)</f>
        <v>1</v>
      </c>
      <c r="AH179" s="45">
        <f>HLOOKUP(TBL_CalcDarwin[[#This Row],[Fecha]],'Plantilla AEG ES'!$E$1:$HX$13,7,FALSE)</f>
        <v>0</v>
      </c>
      <c r="AI179" s="46">
        <f>HLOOKUP(TBL_CalcDarwin[[#This Row],[Fecha]],'Plantilla AEG ES'!$E$1:$HX$13,8,FALSE)</f>
        <v>0</v>
      </c>
      <c r="AJ179" s="46">
        <f>HLOOKUP(TBL_CalcDarwin[[#This Row],[Fecha]],'Plantilla AEG ES'!$E$1:$HX$13,9,FALSE)</f>
        <v>3</v>
      </c>
      <c r="AK179" s="46">
        <f>HLOOKUP(TBL_CalcDarwin[[#This Row],[Fecha]],'Plantilla AEG ES'!$E$1:$HX$13,10,FALSE)</f>
        <v>12</v>
      </c>
      <c r="AL179" s="46">
        <f>HLOOKUP(TBL_CalcDarwin[[#This Row],[Fecha]],'Plantilla AEG ES'!$E$1:$HX$13,11,FALSE)</f>
        <v>1</v>
      </c>
      <c r="AM179" s="46">
        <f>HLOOKUP(TBL_CalcDarwin[[#This Row],[Fecha]],'Plantilla AEG ES'!$E$1:$HX$13,12,FALSE)</f>
        <v>7</v>
      </c>
      <c r="AN179" s="46">
        <f>HLOOKUP(TBL_CalcDarwin[[#This Row],[Fecha]],'Plantilla AEG ES'!$E$1:$HX$13,13,FALSE)</f>
        <v>1</v>
      </c>
      <c r="AO179" s="37">
        <f>TBL_CalcDarwin[[#This Row],[Lomitas - Barra A - 5.2 - Cerro]]+TBL_CalcDarwin[[#This Row],[Lomitas - Barra A - 5.2 - Medio]]+TBL_CalcDarwin[[#This Row],[Lomitas - Barra A - 5.2 - Mar]]</f>
        <v>23</v>
      </c>
      <c r="AP1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1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79" s="37">
        <f>TBL_CalcDarwin[[#This Row],[Expansión - Barra A - 5.2 - Cerro]]+TBL_CalcDarwin[[#This Row],[Expansión - Barra A - 5.2 - Medio]]+TBL_CalcDarwin[[#This Row],[Expansión - Barra A - 5.2 - Mar]]</f>
        <v>2</v>
      </c>
      <c r="AT179" s="37">
        <f>TBL_CalcDarwin[[#This Row],[Expansión - Barra B - 5.2 - Cerro]]</f>
        <v>1</v>
      </c>
      <c r="AU1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79" s="29">
        <f>TBL_CalcDarwin[[#This Row],[Expansión - Barra B - 5.2 - Cerro]]*TBL_CalcDarwin[[#This Row],[AEG 5.2 MW Cerro]]</f>
        <v>1.978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5">
        <f t="shared" si="13"/>
        <v>45591.416666666242</v>
      </c>
      <c r="C180" s="17">
        <f t="shared" si="17"/>
        <v>7.4166666666666847</v>
      </c>
      <c r="D180" s="34">
        <f>TBL_CalcDarwin[[#This Row],[Darwin PLOM
MW]]+TBL_CalcDarwin[[#This Row],[Darwin PLOME
MW]]</f>
        <v>195.351</v>
      </c>
      <c r="E180" s="34">
        <f>TBL_CalcDarwin[[#This Row],[PLOM MW TOTAL BARRA A]]+TBL_CalcDarwin[[#This Row],[PLOM MW TOTAL BARRA B]]</f>
        <v>187.167</v>
      </c>
      <c r="F180" s="34">
        <f>TBL_CalcDarwin[[#This Row],[PLOME MW TOTAL BARRA A]]+TBL_CalcDarwin[[#This Row],[PLOME MW TOTAL BARRA B]]</f>
        <v>8.1840000000000011</v>
      </c>
      <c r="G180" s="48">
        <f>'Plantilla Datos'!D185</f>
        <v>8.4</v>
      </c>
      <c r="H180" s="48">
        <f>'Plantilla Datos'!E185</f>
        <v>10.5</v>
      </c>
      <c r="I180" s="49">
        <f>'Plantilla Datos'!F185</f>
        <v>17.399999999999999</v>
      </c>
      <c r="J180" s="47">
        <f>CEILING('Plantilla Datos'!$L$3*TBL_CalcDarwin[[#This Row],[Darwin Gusts
m/s]],0.5)</f>
        <v>8</v>
      </c>
      <c r="K180" s="47">
        <f>CEILING('Plantilla Datos'!$L$4*TBL_CalcDarwin[[#This Row],[Darwin Gusts
m/s]],0.5)</f>
        <v>9</v>
      </c>
      <c r="L180" s="47">
        <f>CEILING(TBL_CalcDarwin[[#This Row],[Darwin Gusts
m/s]],0.5)</f>
        <v>10.5</v>
      </c>
      <c r="M1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80" s="41">
        <f>INDEX(Curva_Temp[Temp],MATCH(TBL_CalcDarwin[[#This Row],[Darwin Temp.
°C]],Curva_Temp[Temp]))</f>
        <v>15</v>
      </c>
      <c r="R180" s="41">
        <f>INDEX(Curva_Temp[Warranted Power Curve for 
1.194Kg/m3 air density '[kW']
SG 5.0-145 (AM+1, 5.2MW) AT 
90M],MATCH(TBL_CalcDarwin[[#This Row],[Darwin Temp.
°C]],Curva_Temp[Temp]))</f>
        <v>5200</v>
      </c>
      <c r="S180" s="41" cm="1">
        <f t="array" ref="S180">INDEX(Curva_Temp[Temp],MATCH(TBL_CalcDarwin[[#This Row],[Darwin Temp.
°C]],Curva_Temp[Temp])+1)</f>
        <v>20</v>
      </c>
      <c r="T180" s="41" cm="1">
        <f t="array" ref="T180">INDEX(Curva_Temp[Warranted Power Curve for 
1.194Kg/m3 air density '[kW']
SG 5.0-145 (AM+1, 5.2MW) AT 
90M],MATCH(TBL_CalcDarwin[[#This Row],[Darwin Temp.
°C]],Curva_Temp[Temp])+1)</f>
        <v>5000</v>
      </c>
      <c r="U1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80" s="41">
        <f>INDEX(Curva_Temp[Temp],MATCH(TBL_CalcDarwin[[#This Row],[Darwin Temp.
°C]],Curva_Temp[Temp]))</f>
        <v>15</v>
      </c>
      <c r="Z180" s="41">
        <f>INDEX(Curva_Temp[Warranted Power Curve for 
1.194Kg/m3 air density '[kW']
SG 5.0-145 (AM 0, 5.0MW) AT 
90M],MATCH(TBL_CalcDarwin[[#This Row],[Darwin Temp.
°C]],Curva_Temp[Temp]))</f>
        <v>5000</v>
      </c>
      <c r="AA180" s="41" cm="1">
        <f t="array" ref="AA180">INDEX(Curva_Temp[Temp],MATCH(TBL_CalcDarwin[[#This Row],[Darwin Temp.
°C]],Curva_Temp[Temp])+1)</f>
        <v>20</v>
      </c>
      <c r="AB180" s="41" cm="1">
        <f t="array" ref="AB180">INDEX(Curva_Temp[Warranted Power Curve for 
1.194Kg/m3 air density '[kW']
SG 5.0-145 (AM 0, 5.0MW) AT 
90M],MATCH(TBL_CalcDarwin[[#This Row],[Darwin Temp.
°C]],Curva_Temp[Temp])+1)</f>
        <v>5000</v>
      </c>
      <c r="AC180" s="45">
        <f>HLOOKUP(TBL_CalcDarwin[[#This Row],[Fecha]],'Plantilla AEG ES'!$E$1:$HX$13,2,FALSE)</f>
        <v>5</v>
      </c>
      <c r="AD180" s="45">
        <f>HLOOKUP(TBL_CalcDarwin[[#This Row],[Fecha]],'Plantilla AEG ES'!$E$1:$HX$13,3,FALSE)</f>
        <v>7</v>
      </c>
      <c r="AE180" s="45">
        <f>HLOOKUP(TBL_CalcDarwin[[#This Row],[Fecha]],'Plantilla AEG ES'!$E$1:$HX$13,4,FALSE)</f>
        <v>11</v>
      </c>
      <c r="AF180" s="45">
        <f>HLOOKUP(TBL_CalcDarwin[[#This Row],[Fecha]],'Plantilla AEG ES'!$E$1:$HX$13,5,FALSE)</f>
        <v>1</v>
      </c>
      <c r="AG180" s="45">
        <f>HLOOKUP(TBL_CalcDarwin[[#This Row],[Fecha]],'Plantilla AEG ES'!$E$1:$HX$13,6,FALSE)</f>
        <v>1</v>
      </c>
      <c r="AH180" s="45">
        <f>HLOOKUP(TBL_CalcDarwin[[#This Row],[Fecha]],'Plantilla AEG ES'!$E$1:$HX$13,7,FALSE)</f>
        <v>0</v>
      </c>
      <c r="AI180" s="46">
        <f>HLOOKUP(TBL_CalcDarwin[[#This Row],[Fecha]],'Plantilla AEG ES'!$E$1:$HX$13,8,FALSE)</f>
        <v>0</v>
      </c>
      <c r="AJ180" s="46">
        <f>HLOOKUP(TBL_CalcDarwin[[#This Row],[Fecha]],'Plantilla AEG ES'!$E$1:$HX$13,9,FALSE)</f>
        <v>3</v>
      </c>
      <c r="AK180" s="46">
        <f>HLOOKUP(TBL_CalcDarwin[[#This Row],[Fecha]],'Plantilla AEG ES'!$E$1:$HX$13,10,FALSE)</f>
        <v>12</v>
      </c>
      <c r="AL180" s="46">
        <f>HLOOKUP(TBL_CalcDarwin[[#This Row],[Fecha]],'Plantilla AEG ES'!$E$1:$HX$13,11,FALSE)</f>
        <v>1</v>
      </c>
      <c r="AM180" s="46">
        <f>HLOOKUP(TBL_CalcDarwin[[#This Row],[Fecha]],'Plantilla AEG ES'!$E$1:$HX$13,12,FALSE)</f>
        <v>7</v>
      </c>
      <c r="AN180" s="46">
        <f>HLOOKUP(TBL_CalcDarwin[[#This Row],[Fecha]],'Plantilla AEG ES'!$E$1:$HX$13,13,FALSE)</f>
        <v>1</v>
      </c>
      <c r="AO180" s="37">
        <f>TBL_CalcDarwin[[#This Row],[Lomitas - Barra A - 5.2 - Cerro]]+TBL_CalcDarwin[[#This Row],[Lomitas - Barra A - 5.2 - Medio]]+TBL_CalcDarwin[[#This Row],[Lomitas - Barra A - 5.2 - Mar]]</f>
        <v>23</v>
      </c>
      <c r="AP1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86.9</v>
      </c>
      <c r="AR1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80" s="37">
        <f>TBL_CalcDarwin[[#This Row],[Expansión - Barra A - 5.2 - Cerro]]+TBL_CalcDarwin[[#This Row],[Expansión - Barra A - 5.2 - Medio]]+TBL_CalcDarwin[[#This Row],[Expansión - Barra A - 5.2 - Mar]]</f>
        <v>2</v>
      </c>
      <c r="AT180" s="37">
        <f>TBL_CalcDarwin[[#This Row],[Expansión - Barra B - 5.2 - Cerro]]</f>
        <v>1</v>
      </c>
      <c r="AU1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80" s="29">
        <f>TBL_CalcDarwin[[#This Row],[Expansión - Barra B - 5.2 - Cerro]]*TBL_CalcDarwin[[#This Row],[AEG 5.2 MW Cerro]]</f>
        <v>2.4089999999999998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5">
        <f t="shared" si="13"/>
        <v>45591.458333332906</v>
      </c>
      <c r="C181" s="17">
        <f t="shared" si="17"/>
        <v>7.4583333333333517</v>
      </c>
      <c r="D181" s="34">
        <f>TBL_CalcDarwin[[#This Row],[Darwin PLOM
MW]]+TBL_CalcDarwin[[#This Row],[Darwin PLOME
MW]]</f>
        <v>217.79000000000002</v>
      </c>
      <c r="E181" s="34">
        <f>TBL_CalcDarwin[[#This Row],[PLOM MW TOTAL BARRA A]]+TBL_CalcDarwin[[#This Row],[PLOM MW TOTAL BARRA B]]</f>
        <v>209.13000000000002</v>
      </c>
      <c r="F181" s="34">
        <f>TBL_CalcDarwin[[#This Row],[PLOME MW TOTAL BARRA A]]+TBL_CalcDarwin[[#This Row],[PLOME MW TOTAL BARRA B]]</f>
        <v>8.66</v>
      </c>
      <c r="G181" s="48">
        <f>'Plantilla Datos'!D186</f>
        <v>8.6999999999999993</v>
      </c>
      <c r="H181" s="48">
        <f>'Plantilla Datos'!E186</f>
        <v>10.8</v>
      </c>
      <c r="I181" s="49">
        <f>'Plantilla Datos'!F186</f>
        <v>18</v>
      </c>
      <c r="J181" s="47">
        <f>CEILING('Plantilla Datos'!$L$3*TBL_CalcDarwin[[#This Row],[Darwin Gusts
m/s]],0.5)</f>
        <v>8</v>
      </c>
      <c r="K181" s="47">
        <f>CEILING('Plantilla Datos'!$L$4*TBL_CalcDarwin[[#This Row],[Darwin Gusts
m/s]],0.5)</f>
        <v>9.5</v>
      </c>
      <c r="L181" s="47">
        <f>CEILING(TBL_CalcDarwin[[#This Row],[Darwin Gusts
m/s]],0.5)</f>
        <v>11</v>
      </c>
      <c r="M1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1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81" s="41">
        <f>INDEX(Curva_Temp[Temp],MATCH(TBL_CalcDarwin[[#This Row],[Darwin Temp.
°C]],Curva_Temp[Temp]))</f>
        <v>15</v>
      </c>
      <c r="R181" s="41">
        <f>INDEX(Curva_Temp[Warranted Power Curve for 
1.194Kg/m3 air density '[kW']
SG 5.0-145 (AM+1, 5.2MW) AT 
90M],MATCH(TBL_CalcDarwin[[#This Row],[Darwin Temp.
°C]],Curva_Temp[Temp]))</f>
        <v>5200</v>
      </c>
      <c r="S181" s="41" cm="1">
        <f t="array" ref="S181">INDEX(Curva_Temp[Temp],MATCH(TBL_CalcDarwin[[#This Row],[Darwin Temp.
°C]],Curva_Temp[Temp])+1)</f>
        <v>20</v>
      </c>
      <c r="T181" s="41" cm="1">
        <f t="array" ref="T181">INDEX(Curva_Temp[Warranted Power Curve for 
1.194Kg/m3 air density '[kW']
SG 5.0-145 (AM+1, 5.2MW) AT 
90M],MATCH(TBL_CalcDarwin[[#This Row],[Darwin Temp.
°C]],Curva_Temp[Temp])+1)</f>
        <v>5000</v>
      </c>
      <c r="U1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81" s="41">
        <f>INDEX(Curva_Temp[Temp],MATCH(TBL_CalcDarwin[[#This Row],[Darwin Temp.
°C]],Curva_Temp[Temp]))</f>
        <v>15</v>
      </c>
      <c r="Z181" s="41">
        <f>INDEX(Curva_Temp[Warranted Power Curve for 
1.194Kg/m3 air density '[kW']
SG 5.0-145 (AM 0, 5.0MW) AT 
90M],MATCH(TBL_CalcDarwin[[#This Row],[Darwin Temp.
°C]],Curva_Temp[Temp]))</f>
        <v>5000</v>
      </c>
      <c r="AA181" s="41" cm="1">
        <f t="array" ref="AA181">INDEX(Curva_Temp[Temp],MATCH(TBL_CalcDarwin[[#This Row],[Darwin Temp.
°C]],Curva_Temp[Temp])+1)</f>
        <v>20</v>
      </c>
      <c r="AB181" s="41" cm="1">
        <f t="array" ref="AB181">INDEX(Curva_Temp[Warranted Power Curve for 
1.194Kg/m3 air density '[kW']
SG 5.0-145 (AM 0, 5.0MW) AT 
90M],MATCH(TBL_CalcDarwin[[#This Row],[Darwin Temp.
°C]],Curva_Temp[Temp])+1)</f>
        <v>5000</v>
      </c>
      <c r="AC181" s="45">
        <f>HLOOKUP(TBL_CalcDarwin[[#This Row],[Fecha]],'Plantilla AEG ES'!$E$1:$HX$13,2,FALSE)</f>
        <v>5</v>
      </c>
      <c r="AD181" s="45">
        <f>HLOOKUP(TBL_CalcDarwin[[#This Row],[Fecha]],'Plantilla AEG ES'!$E$1:$HX$13,3,FALSE)</f>
        <v>8</v>
      </c>
      <c r="AE181" s="45">
        <f>HLOOKUP(TBL_CalcDarwin[[#This Row],[Fecha]],'Plantilla AEG ES'!$E$1:$HX$13,4,FALSE)</f>
        <v>12</v>
      </c>
      <c r="AF181" s="45">
        <f>HLOOKUP(TBL_CalcDarwin[[#This Row],[Fecha]],'Plantilla AEG ES'!$E$1:$HX$13,5,FALSE)</f>
        <v>1</v>
      </c>
      <c r="AG181" s="45">
        <f>HLOOKUP(TBL_CalcDarwin[[#This Row],[Fecha]],'Plantilla AEG ES'!$E$1:$HX$13,6,FALSE)</f>
        <v>1</v>
      </c>
      <c r="AH181" s="45">
        <f>HLOOKUP(TBL_CalcDarwin[[#This Row],[Fecha]],'Plantilla AEG ES'!$E$1:$HX$13,7,FALSE)</f>
        <v>0</v>
      </c>
      <c r="AI181" s="46">
        <f>HLOOKUP(TBL_CalcDarwin[[#This Row],[Fecha]],'Plantilla AEG ES'!$E$1:$HX$13,8,FALSE)</f>
        <v>0</v>
      </c>
      <c r="AJ181" s="46">
        <f>HLOOKUP(TBL_CalcDarwin[[#This Row],[Fecha]],'Plantilla AEG ES'!$E$1:$HX$13,9,FALSE)</f>
        <v>3</v>
      </c>
      <c r="AK181" s="46">
        <f>HLOOKUP(TBL_CalcDarwin[[#This Row],[Fecha]],'Plantilla AEG ES'!$E$1:$HX$13,10,FALSE)</f>
        <v>12</v>
      </c>
      <c r="AL181" s="46">
        <f>HLOOKUP(TBL_CalcDarwin[[#This Row],[Fecha]],'Plantilla AEG ES'!$E$1:$HX$13,11,FALSE)</f>
        <v>1</v>
      </c>
      <c r="AM181" s="46">
        <f>HLOOKUP(TBL_CalcDarwin[[#This Row],[Fecha]],'Plantilla AEG ES'!$E$1:$HX$13,12,FALSE)</f>
        <v>7</v>
      </c>
      <c r="AN181" s="46">
        <f>HLOOKUP(TBL_CalcDarwin[[#This Row],[Fecha]],'Plantilla AEG ES'!$E$1:$HX$13,13,FALSE)</f>
        <v>1</v>
      </c>
      <c r="AO181" s="37">
        <f>TBL_CalcDarwin[[#This Row],[Lomitas - Barra A - 5.2 - Cerro]]+TBL_CalcDarwin[[#This Row],[Lomitas - Barra A - 5.2 - Medio]]+TBL_CalcDarwin[[#This Row],[Lomitas - Barra A - 5.2 - Mar]]</f>
        <v>25</v>
      </c>
      <c r="AP1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81" s="37">
        <f>TBL_CalcDarwin[[#This Row],[Expansión - Barra A - 5.2 - Cerro]]+TBL_CalcDarwin[[#This Row],[Expansión - Barra A - 5.2 - Medio]]+TBL_CalcDarwin[[#This Row],[Expansión - Barra A - 5.2 - Mar]]</f>
        <v>2</v>
      </c>
      <c r="AT181" s="37">
        <f>TBL_CalcDarwin[[#This Row],[Expansión - Barra B - 5.2 - Cerro]]</f>
        <v>1</v>
      </c>
      <c r="AU1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81" s="29">
        <f>TBL_CalcDarwin[[#This Row],[Expansión - Barra B - 5.2 - Cerro]]*TBL_CalcDarwin[[#This Row],[AEG 5.2 MW Cerro]]</f>
        <v>2.4089999999999998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5">
        <f t="shared" si="13"/>
        <v>45591.499999999571</v>
      </c>
      <c r="C182" s="17">
        <f t="shared" si="17"/>
        <v>7.5000000000000187</v>
      </c>
      <c r="D182" s="34">
        <f>TBL_CalcDarwin[[#This Row],[Darwin PLOM
MW]]+TBL_CalcDarwin[[#This Row],[Darwin PLOME
MW]]</f>
        <v>224.9</v>
      </c>
      <c r="E182" s="34">
        <f>TBL_CalcDarwin[[#This Row],[PLOM MW TOTAL BARRA A]]+TBL_CalcDarwin[[#This Row],[PLOM MW TOTAL BARRA B]]</f>
        <v>215.30199999999999</v>
      </c>
      <c r="F182" s="34">
        <f>TBL_CalcDarwin[[#This Row],[PLOME MW TOTAL BARRA A]]+TBL_CalcDarwin[[#This Row],[PLOME MW TOTAL BARRA B]]</f>
        <v>9.5980000000000008</v>
      </c>
      <c r="G182" s="48">
        <f>'Plantilla Datos'!D187</f>
        <v>8.9</v>
      </c>
      <c r="H182" s="48">
        <f>'Plantilla Datos'!E187</f>
        <v>11.1</v>
      </c>
      <c r="I182" s="49">
        <f>'Plantilla Datos'!F187</f>
        <v>18.600000000000001</v>
      </c>
      <c r="J182" s="47">
        <f>CEILING('Plantilla Datos'!$L$3*TBL_CalcDarwin[[#This Row],[Darwin Gusts
m/s]],0.5)</f>
        <v>8.5</v>
      </c>
      <c r="K182" s="47">
        <f>CEILING('Plantilla Datos'!$L$4*TBL_CalcDarwin[[#This Row],[Darwin Gusts
m/s]],0.5)</f>
        <v>9.5</v>
      </c>
      <c r="L182" s="47">
        <f>CEILING(TBL_CalcDarwin[[#This Row],[Darwin Gusts
m/s]],0.5)</f>
        <v>11.5</v>
      </c>
      <c r="M1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1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5.056</v>
      </c>
      <c r="Q182" s="41">
        <f>INDEX(Curva_Temp[Temp],MATCH(TBL_CalcDarwin[[#This Row],[Darwin Temp.
°C]],Curva_Temp[Temp]))</f>
        <v>15</v>
      </c>
      <c r="R182" s="41">
        <f>INDEX(Curva_Temp[Warranted Power Curve for 
1.194Kg/m3 air density '[kW']
SG 5.0-145 (AM+1, 5.2MW) AT 
90M],MATCH(TBL_CalcDarwin[[#This Row],[Darwin Temp.
°C]],Curva_Temp[Temp]))</f>
        <v>5200</v>
      </c>
      <c r="S182" s="41" cm="1">
        <f t="array" ref="S182">INDEX(Curva_Temp[Temp],MATCH(TBL_CalcDarwin[[#This Row],[Darwin Temp.
°C]],Curva_Temp[Temp])+1)</f>
        <v>20</v>
      </c>
      <c r="T182" s="41" cm="1">
        <f t="array" ref="T182">INDEX(Curva_Temp[Warranted Power Curve for 
1.194Kg/m3 air density '[kW']
SG 5.0-145 (AM+1, 5.2MW) AT 
90M],MATCH(TBL_CalcDarwin[[#This Row],[Darwin Temp.
°C]],Curva_Temp[Temp])+1)</f>
        <v>5000</v>
      </c>
      <c r="U1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82" s="41">
        <f>INDEX(Curva_Temp[Temp],MATCH(TBL_CalcDarwin[[#This Row],[Darwin Temp.
°C]],Curva_Temp[Temp]))</f>
        <v>15</v>
      </c>
      <c r="Z182" s="41">
        <f>INDEX(Curva_Temp[Warranted Power Curve for 
1.194Kg/m3 air density '[kW']
SG 5.0-145 (AM 0, 5.0MW) AT 
90M],MATCH(TBL_CalcDarwin[[#This Row],[Darwin Temp.
°C]],Curva_Temp[Temp]))</f>
        <v>5000</v>
      </c>
      <c r="AA182" s="41" cm="1">
        <f t="array" ref="AA182">INDEX(Curva_Temp[Temp],MATCH(TBL_CalcDarwin[[#This Row],[Darwin Temp.
°C]],Curva_Temp[Temp])+1)</f>
        <v>20</v>
      </c>
      <c r="AB182" s="41" cm="1">
        <f t="array" ref="AB182">INDEX(Curva_Temp[Warranted Power Curve for 
1.194Kg/m3 air density '[kW']
SG 5.0-145 (AM 0, 5.0MW) AT 
90M],MATCH(TBL_CalcDarwin[[#This Row],[Darwin Temp.
°C]],Curva_Temp[Temp])+1)</f>
        <v>5000</v>
      </c>
      <c r="AC182" s="45">
        <f>HLOOKUP(TBL_CalcDarwin[[#This Row],[Fecha]],'Plantilla AEG ES'!$E$1:$HX$13,2,FALSE)</f>
        <v>5</v>
      </c>
      <c r="AD182" s="45">
        <f>HLOOKUP(TBL_CalcDarwin[[#This Row],[Fecha]],'Plantilla AEG ES'!$E$1:$HX$13,3,FALSE)</f>
        <v>8</v>
      </c>
      <c r="AE182" s="45">
        <f>HLOOKUP(TBL_CalcDarwin[[#This Row],[Fecha]],'Plantilla AEG ES'!$E$1:$HX$13,4,FALSE)</f>
        <v>12</v>
      </c>
      <c r="AF182" s="45">
        <f>HLOOKUP(TBL_CalcDarwin[[#This Row],[Fecha]],'Plantilla AEG ES'!$E$1:$HX$13,5,FALSE)</f>
        <v>1</v>
      </c>
      <c r="AG182" s="45">
        <f>HLOOKUP(TBL_CalcDarwin[[#This Row],[Fecha]],'Plantilla AEG ES'!$E$1:$HX$13,6,FALSE)</f>
        <v>1</v>
      </c>
      <c r="AH182" s="45">
        <f>HLOOKUP(TBL_CalcDarwin[[#This Row],[Fecha]],'Plantilla AEG ES'!$E$1:$HX$13,7,FALSE)</f>
        <v>0</v>
      </c>
      <c r="AI182" s="46">
        <f>HLOOKUP(TBL_CalcDarwin[[#This Row],[Fecha]],'Plantilla AEG ES'!$E$1:$HX$13,8,FALSE)</f>
        <v>0</v>
      </c>
      <c r="AJ182" s="46">
        <f>HLOOKUP(TBL_CalcDarwin[[#This Row],[Fecha]],'Plantilla AEG ES'!$E$1:$HX$13,9,FALSE)</f>
        <v>3</v>
      </c>
      <c r="AK182" s="46">
        <f>HLOOKUP(TBL_CalcDarwin[[#This Row],[Fecha]],'Plantilla AEG ES'!$E$1:$HX$13,10,FALSE)</f>
        <v>12</v>
      </c>
      <c r="AL182" s="46">
        <f>HLOOKUP(TBL_CalcDarwin[[#This Row],[Fecha]],'Plantilla AEG ES'!$E$1:$HX$13,11,FALSE)</f>
        <v>1</v>
      </c>
      <c r="AM182" s="46">
        <f>HLOOKUP(TBL_CalcDarwin[[#This Row],[Fecha]],'Plantilla AEG ES'!$E$1:$HX$13,12,FALSE)</f>
        <v>7</v>
      </c>
      <c r="AN182" s="46">
        <f>HLOOKUP(TBL_CalcDarwin[[#This Row],[Fecha]],'Plantilla AEG ES'!$E$1:$HX$13,13,FALSE)</f>
        <v>1</v>
      </c>
      <c r="AO182" s="37">
        <f>TBL_CalcDarwin[[#This Row],[Lomitas - Barra A - 5.2 - Cerro]]+TBL_CalcDarwin[[#This Row],[Lomitas - Barra A - 5.2 - Medio]]+TBL_CalcDarwin[[#This Row],[Lomitas - Barra A - 5.2 - Mar]]</f>
        <v>25</v>
      </c>
      <c r="AP1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105.798</v>
      </c>
      <c r="AR1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109.50399999999999</v>
      </c>
      <c r="AS182" s="37">
        <f>TBL_CalcDarwin[[#This Row],[Expansión - Barra A - 5.2 - Cerro]]+TBL_CalcDarwin[[#This Row],[Expansión - Barra A - 5.2 - Medio]]+TBL_CalcDarwin[[#This Row],[Expansión - Barra A - 5.2 - Mar]]</f>
        <v>2</v>
      </c>
      <c r="AT182" s="37">
        <f>TBL_CalcDarwin[[#This Row],[Expansión - Barra B - 5.2 - Cerro]]</f>
        <v>1</v>
      </c>
      <c r="AU1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182" s="29">
        <f>TBL_CalcDarwin[[#This Row],[Expansión - Barra B - 5.2 - Cerro]]*TBL_CalcDarwin[[#This Row],[AEG 5.2 MW Cerro]]</f>
        <v>2.8780000000000001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5">
        <f t="shared" si="13"/>
        <v>45591.541666666235</v>
      </c>
      <c r="C183" s="17">
        <f t="shared" si="17"/>
        <v>7.5416666666666856</v>
      </c>
      <c r="D183" s="34">
        <f>TBL_CalcDarwin[[#This Row],[Darwin PLOM
MW]]+TBL_CalcDarwin[[#This Row],[Darwin PLOME
MW]]</f>
        <v>229.72399999999996</v>
      </c>
      <c r="E183" s="34">
        <f>TBL_CalcDarwin[[#This Row],[PLOM MW TOTAL BARRA A]]+TBL_CalcDarwin[[#This Row],[PLOM MW TOTAL BARRA B]]</f>
        <v>219.68399999999997</v>
      </c>
      <c r="F183" s="34">
        <f>TBL_CalcDarwin[[#This Row],[PLOME MW TOTAL BARRA A]]+TBL_CalcDarwin[[#This Row],[PLOME MW TOTAL BARRA B]]</f>
        <v>10.039999999999999</v>
      </c>
      <c r="G183" s="48">
        <f>'Plantilla Datos'!D188</f>
        <v>9.1999999999999993</v>
      </c>
      <c r="H183" s="48">
        <f>'Plantilla Datos'!E188</f>
        <v>11.4</v>
      </c>
      <c r="I183" s="49">
        <f>'Plantilla Datos'!F188</f>
        <v>19.100000000000001</v>
      </c>
      <c r="J183" s="47">
        <f>CEILING('Plantilla Datos'!$L$3*TBL_CalcDarwin[[#This Row],[Darwin Gusts
m/s]],0.5)</f>
        <v>8.5</v>
      </c>
      <c r="K183" s="47">
        <f>CEILING('Plantilla Datos'!$L$4*TBL_CalcDarwin[[#This Row],[Darwin Gusts
m/s]],0.5)</f>
        <v>10</v>
      </c>
      <c r="L183" s="47">
        <f>CEILING(TBL_CalcDarwin[[#This Row],[Darwin Gusts
m/s]],0.5)</f>
        <v>11.5</v>
      </c>
      <c r="M1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1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5.0359999999999996</v>
      </c>
      <c r="Q183" s="41">
        <f>INDEX(Curva_Temp[Temp],MATCH(TBL_CalcDarwin[[#This Row],[Darwin Temp.
°C]],Curva_Temp[Temp]))</f>
        <v>15</v>
      </c>
      <c r="R183" s="41">
        <f>INDEX(Curva_Temp[Warranted Power Curve for 
1.194Kg/m3 air density '[kW']
SG 5.0-145 (AM+1, 5.2MW) AT 
90M],MATCH(TBL_CalcDarwin[[#This Row],[Darwin Temp.
°C]],Curva_Temp[Temp]))</f>
        <v>5200</v>
      </c>
      <c r="S183" s="41" cm="1">
        <f t="array" ref="S183">INDEX(Curva_Temp[Temp],MATCH(TBL_CalcDarwin[[#This Row],[Darwin Temp.
°C]],Curva_Temp[Temp])+1)</f>
        <v>20</v>
      </c>
      <c r="T183" s="41" cm="1">
        <f t="array" ref="T183">INDEX(Curva_Temp[Warranted Power Curve for 
1.194Kg/m3 air density '[kW']
SG 5.0-145 (AM+1, 5.2MW) AT 
90M],MATCH(TBL_CalcDarwin[[#This Row],[Darwin Temp.
°C]],Curva_Temp[Temp])+1)</f>
        <v>5000</v>
      </c>
      <c r="U1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83" s="41">
        <f>INDEX(Curva_Temp[Temp],MATCH(TBL_CalcDarwin[[#This Row],[Darwin Temp.
°C]],Curva_Temp[Temp]))</f>
        <v>15</v>
      </c>
      <c r="Z183" s="41">
        <f>INDEX(Curva_Temp[Warranted Power Curve for 
1.194Kg/m3 air density '[kW']
SG 5.0-145 (AM 0, 5.0MW) AT 
90M],MATCH(TBL_CalcDarwin[[#This Row],[Darwin Temp.
°C]],Curva_Temp[Temp]))</f>
        <v>5000</v>
      </c>
      <c r="AA183" s="41" cm="1">
        <f t="array" ref="AA183">INDEX(Curva_Temp[Temp],MATCH(TBL_CalcDarwin[[#This Row],[Darwin Temp.
°C]],Curva_Temp[Temp])+1)</f>
        <v>20</v>
      </c>
      <c r="AB183" s="41" cm="1">
        <f t="array" ref="AB183">INDEX(Curva_Temp[Warranted Power Curve for 
1.194Kg/m3 air density '[kW']
SG 5.0-145 (AM 0, 5.0MW) AT 
90M],MATCH(TBL_CalcDarwin[[#This Row],[Darwin Temp.
°C]],Curva_Temp[Temp])+1)</f>
        <v>5000</v>
      </c>
      <c r="AC183" s="45">
        <f>HLOOKUP(TBL_CalcDarwin[[#This Row],[Fecha]],'Plantilla AEG ES'!$E$1:$HX$13,2,FALSE)</f>
        <v>5</v>
      </c>
      <c r="AD183" s="45">
        <f>HLOOKUP(TBL_CalcDarwin[[#This Row],[Fecha]],'Plantilla AEG ES'!$E$1:$HX$13,3,FALSE)</f>
        <v>8</v>
      </c>
      <c r="AE183" s="45">
        <f>HLOOKUP(TBL_CalcDarwin[[#This Row],[Fecha]],'Plantilla AEG ES'!$E$1:$HX$13,4,FALSE)</f>
        <v>12</v>
      </c>
      <c r="AF183" s="45">
        <f>HLOOKUP(TBL_CalcDarwin[[#This Row],[Fecha]],'Plantilla AEG ES'!$E$1:$HX$13,5,FALSE)</f>
        <v>1</v>
      </c>
      <c r="AG183" s="45">
        <f>HLOOKUP(TBL_CalcDarwin[[#This Row],[Fecha]],'Plantilla AEG ES'!$E$1:$HX$13,6,FALSE)</f>
        <v>1</v>
      </c>
      <c r="AH183" s="45">
        <f>HLOOKUP(TBL_CalcDarwin[[#This Row],[Fecha]],'Plantilla AEG ES'!$E$1:$HX$13,7,FALSE)</f>
        <v>0</v>
      </c>
      <c r="AI183" s="46">
        <f>HLOOKUP(TBL_CalcDarwin[[#This Row],[Fecha]],'Plantilla AEG ES'!$E$1:$HX$13,8,FALSE)</f>
        <v>0</v>
      </c>
      <c r="AJ183" s="46">
        <f>HLOOKUP(TBL_CalcDarwin[[#This Row],[Fecha]],'Plantilla AEG ES'!$E$1:$HX$13,9,FALSE)</f>
        <v>3</v>
      </c>
      <c r="AK183" s="46">
        <f>HLOOKUP(TBL_CalcDarwin[[#This Row],[Fecha]],'Plantilla AEG ES'!$E$1:$HX$13,10,FALSE)</f>
        <v>12</v>
      </c>
      <c r="AL183" s="46">
        <f>HLOOKUP(TBL_CalcDarwin[[#This Row],[Fecha]],'Plantilla AEG ES'!$E$1:$HX$13,11,FALSE)</f>
        <v>1</v>
      </c>
      <c r="AM183" s="46">
        <f>HLOOKUP(TBL_CalcDarwin[[#This Row],[Fecha]],'Plantilla AEG ES'!$E$1:$HX$13,12,FALSE)</f>
        <v>7</v>
      </c>
      <c r="AN183" s="46">
        <f>HLOOKUP(TBL_CalcDarwin[[#This Row],[Fecha]],'Plantilla AEG ES'!$E$1:$HX$13,13,FALSE)</f>
        <v>1</v>
      </c>
      <c r="AO183" s="37">
        <f>TBL_CalcDarwin[[#This Row],[Lomitas - Barra A - 5.2 - Cerro]]+TBL_CalcDarwin[[#This Row],[Lomitas - Barra A - 5.2 - Medio]]+TBL_CalcDarwin[[#This Row],[Lomitas - Barra A - 5.2 - Mar]]</f>
        <v>25</v>
      </c>
      <c r="AP1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109.09399999999999</v>
      </c>
      <c r="AR1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110.58999999999999</v>
      </c>
      <c r="AS183" s="37">
        <f>TBL_CalcDarwin[[#This Row],[Expansión - Barra A - 5.2 - Cerro]]+TBL_CalcDarwin[[#This Row],[Expansión - Barra A - 5.2 - Medio]]+TBL_CalcDarwin[[#This Row],[Expansión - Barra A - 5.2 - Mar]]</f>
        <v>2</v>
      </c>
      <c r="AT183" s="37">
        <f>TBL_CalcDarwin[[#This Row],[Expansión - Barra B - 5.2 - Cerro]]</f>
        <v>1</v>
      </c>
      <c r="AU1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83" s="29">
        <f>TBL_CalcDarwin[[#This Row],[Expansión - Barra B - 5.2 - Cerro]]*TBL_CalcDarwin[[#This Row],[AEG 5.2 MW Cerro]]</f>
        <v>2.8780000000000001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5">
        <f t="shared" si="13"/>
        <v>45591.583333332899</v>
      </c>
      <c r="C184" s="17">
        <f t="shared" si="17"/>
        <v>7.5833333333333526</v>
      </c>
      <c r="D184" s="34">
        <f>TBL_CalcDarwin[[#This Row],[Darwin PLOM
MW]]+TBL_CalcDarwin[[#This Row],[Darwin PLOME
MW]]</f>
        <v>230.20399999999998</v>
      </c>
      <c r="E184" s="34">
        <f>TBL_CalcDarwin[[#This Row],[PLOM MW TOTAL BARRA A]]+TBL_CalcDarwin[[#This Row],[PLOM MW TOTAL BARRA B]]</f>
        <v>220.16399999999999</v>
      </c>
      <c r="F184" s="34">
        <f>TBL_CalcDarwin[[#This Row],[PLOME MW TOTAL BARRA A]]+TBL_CalcDarwin[[#This Row],[PLOME MW TOTAL BARRA B]]</f>
        <v>10.039999999999999</v>
      </c>
      <c r="G184" s="48">
        <f>'Plantilla Datos'!D189</f>
        <v>9.1999999999999993</v>
      </c>
      <c r="H184" s="48">
        <f>'Plantilla Datos'!E189</f>
        <v>11.5</v>
      </c>
      <c r="I184" s="49">
        <f>'Plantilla Datos'!F189</f>
        <v>18.600000000000001</v>
      </c>
      <c r="J184" s="47">
        <f>CEILING('Plantilla Datos'!$L$3*TBL_CalcDarwin[[#This Row],[Darwin Gusts
m/s]],0.5)</f>
        <v>8.5</v>
      </c>
      <c r="K184" s="47">
        <f>CEILING('Plantilla Datos'!$L$4*TBL_CalcDarwin[[#This Row],[Darwin Gusts
m/s]],0.5)</f>
        <v>10</v>
      </c>
      <c r="L184" s="47">
        <f>CEILING(TBL_CalcDarwin[[#This Row],[Darwin Gusts
m/s]],0.5)</f>
        <v>11.5</v>
      </c>
      <c r="M1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1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5.056</v>
      </c>
      <c r="Q184" s="41">
        <f>INDEX(Curva_Temp[Temp],MATCH(TBL_CalcDarwin[[#This Row],[Darwin Temp.
°C]],Curva_Temp[Temp]))</f>
        <v>15</v>
      </c>
      <c r="R184" s="41">
        <f>INDEX(Curva_Temp[Warranted Power Curve for 
1.194Kg/m3 air density '[kW']
SG 5.0-145 (AM+1, 5.2MW) AT 
90M],MATCH(TBL_CalcDarwin[[#This Row],[Darwin Temp.
°C]],Curva_Temp[Temp]))</f>
        <v>5200</v>
      </c>
      <c r="S184" s="41" cm="1">
        <f t="array" ref="S184">INDEX(Curva_Temp[Temp],MATCH(TBL_CalcDarwin[[#This Row],[Darwin Temp.
°C]],Curva_Temp[Temp])+1)</f>
        <v>20</v>
      </c>
      <c r="T184" s="41" cm="1">
        <f t="array" ref="T184">INDEX(Curva_Temp[Warranted Power Curve for 
1.194Kg/m3 air density '[kW']
SG 5.0-145 (AM+1, 5.2MW) AT 
90M],MATCH(TBL_CalcDarwin[[#This Row],[Darwin Temp.
°C]],Curva_Temp[Temp])+1)</f>
        <v>5000</v>
      </c>
      <c r="U1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84" s="41">
        <f>INDEX(Curva_Temp[Temp],MATCH(TBL_CalcDarwin[[#This Row],[Darwin Temp.
°C]],Curva_Temp[Temp]))</f>
        <v>15</v>
      </c>
      <c r="Z184" s="41">
        <f>INDEX(Curva_Temp[Warranted Power Curve for 
1.194Kg/m3 air density '[kW']
SG 5.0-145 (AM 0, 5.0MW) AT 
90M],MATCH(TBL_CalcDarwin[[#This Row],[Darwin Temp.
°C]],Curva_Temp[Temp]))</f>
        <v>5000</v>
      </c>
      <c r="AA184" s="41" cm="1">
        <f t="array" ref="AA184">INDEX(Curva_Temp[Temp],MATCH(TBL_CalcDarwin[[#This Row],[Darwin Temp.
°C]],Curva_Temp[Temp])+1)</f>
        <v>20</v>
      </c>
      <c r="AB184" s="41" cm="1">
        <f t="array" ref="AB184">INDEX(Curva_Temp[Warranted Power Curve for 
1.194Kg/m3 air density '[kW']
SG 5.0-145 (AM 0, 5.0MW) AT 
90M],MATCH(TBL_CalcDarwin[[#This Row],[Darwin Temp.
°C]],Curva_Temp[Temp])+1)</f>
        <v>5000</v>
      </c>
      <c r="AC184" s="45">
        <f>HLOOKUP(TBL_CalcDarwin[[#This Row],[Fecha]],'Plantilla AEG ES'!$E$1:$HX$13,2,FALSE)</f>
        <v>5</v>
      </c>
      <c r="AD184" s="45">
        <f>HLOOKUP(TBL_CalcDarwin[[#This Row],[Fecha]],'Plantilla AEG ES'!$E$1:$HX$13,3,FALSE)</f>
        <v>8</v>
      </c>
      <c r="AE184" s="45">
        <f>HLOOKUP(TBL_CalcDarwin[[#This Row],[Fecha]],'Plantilla AEG ES'!$E$1:$HX$13,4,FALSE)</f>
        <v>12</v>
      </c>
      <c r="AF184" s="45">
        <f>HLOOKUP(TBL_CalcDarwin[[#This Row],[Fecha]],'Plantilla AEG ES'!$E$1:$HX$13,5,FALSE)</f>
        <v>1</v>
      </c>
      <c r="AG184" s="45">
        <f>HLOOKUP(TBL_CalcDarwin[[#This Row],[Fecha]],'Plantilla AEG ES'!$E$1:$HX$13,6,FALSE)</f>
        <v>1</v>
      </c>
      <c r="AH184" s="45">
        <f>HLOOKUP(TBL_CalcDarwin[[#This Row],[Fecha]],'Plantilla AEG ES'!$E$1:$HX$13,7,FALSE)</f>
        <v>0</v>
      </c>
      <c r="AI184" s="46">
        <f>HLOOKUP(TBL_CalcDarwin[[#This Row],[Fecha]],'Plantilla AEG ES'!$E$1:$HX$13,8,FALSE)</f>
        <v>0</v>
      </c>
      <c r="AJ184" s="46">
        <f>HLOOKUP(TBL_CalcDarwin[[#This Row],[Fecha]],'Plantilla AEG ES'!$E$1:$HX$13,9,FALSE)</f>
        <v>3</v>
      </c>
      <c r="AK184" s="46">
        <f>HLOOKUP(TBL_CalcDarwin[[#This Row],[Fecha]],'Plantilla AEG ES'!$E$1:$HX$13,10,FALSE)</f>
        <v>12</v>
      </c>
      <c r="AL184" s="46">
        <f>HLOOKUP(TBL_CalcDarwin[[#This Row],[Fecha]],'Plantilla AEG ES'!$E$1:$HX$13,11,FALSE)</f>
        <v>1</v>
      </c>
      <c r="AM184" s="46">
        <f>HLOOKUP(TBL_CalcDarwin[[#This Row],[Fecha]],'Plantilla AEG ES'!$E$1:$HX$13,12,FALSE)</f>
        <v>7</v>
      </c>
      <c r="AN184" s="46">
        <f>HLOOKUP(TBL_CalcDarwin[[#This Row],[Fecha]],'Plantilla AEG ES'!$E$1:$HX$13,13,FALSE)</f>
        <v>1</v>
      </c>
      <c r="AO184" s="37">
        <f>TBL_CalcDarwin[[#This Row],[Lomitas - Barra A - 5.2 - Cerro]]+TBL_CalcDarwin[[#This Row],[Lomitas - Barra A - 5.2 - Medio]]+TBL_CalcDarwin[[#This Row],[Lomitas - Barra A - 5.2 - Mar]]</f>
        <v>25</v>
      </c>
      <c r="AP1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109.334</v>
      </c>
      <c r="AR1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110.83</v>
      </c>
      <c r="AS184" s="37">
        <f>TBL_CalcDarwin[[#This Row],[Expansión - Barra A - 5.2 - Cerro]]+TBL_CalcDarwin[[#This Row],[Expansión - Barra A - 5.2 - Medio]]+TBL_CalcDarwin[[#This Row],[Expansión - Barra A - 5.2 - Mar]]</f>
        <v>2</v>
      </c>
      <c r="AT184" s="37">
        <f>TBL_CalcDarwin[[#This Row],[Expansión - Barra B - 5.2 - Cerro]]</f>
        <v>1</v>
      </c>
      <c r="AU1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84" s="29">
        <f>TBL_CalcDarwin[[#This Row],[Expansión - Barra B - 5.2 - Cerro]]*TBL_CalcDarwin[[#This Row],[AEG 5.2 MW Cerro]]</f>
        <v>2.8780000000000001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5">
        <f t="shared" si="13"/>
        <v>45591.624999999563</v>
      </c>
      <c r="C185" s="17">
        <f t="shared" si="17"/>
        <v>7.6250000000000195</v>
      </c>
      <c r="D185" s="34">
        <f>TBL_CalcDarwin[[#This Row],[Darwin PLOM
MW]]+TBL_CalcDarwin[[#This Row],[Darwin PLOME
MW]]</f>
        <v>230.94500000000002</v>
      </c>
      <c r="E185" s="34">
        <f>TBL_CalcDarwin[[#This Row],[PLOM MW TOTAL BARRA A]]+TBL_CalcDarwin[[#This Row],[PLOM MW TOTAL BARRA B]]</f>
        <v>220.90500000000003</v>
      </c>
      <c r="F185" s="34">
        <f>TBL_CalcDarwin[[#This Row],[PLOME MW TOTAL BARRA A]]+TBL_CalcDarwin[[#This Row],[PLOME MW TOTAL BARRA B]]</f>
        <v>10.039999999999999</v>
      </c>
      <c r="G185" s="48">
        <f>'Plantilla Datos'!D190</f>
        <v>9.3000000000000007</v>
      </c>
      <c r="H185" s="48">
        <f>'Plantilla Datos'!E190</f>
        <v>11.6</v>
      </c>
      <c r="I185" s="49">
        <f>'Plantilla Datos'!F190</f>
        <v>18.2</v>
      </c>
      <c r="J185" s="47">
        <f>CEILING('Plantilla Datos'!$L$3*TBL_CalcDarwin[[#This Row],[Darwin Gusts
m/s]],0.5)</f>
        <v>8.5</v>
      </c>
      <c r="K185" s="47">
        <f>CEILING('Plantilla Datos'!$L$4*TBL_CalcDarwin[[#This Row],[Darwin Gusts
m/s]],0.5)</f>
        <v>10</v>
      </c>
      <c r="L185" s="47">
        <f>CEILING(TBL_CalcDarwin[[#This Row],[Darwin Gusts
m/s]],0.5)</f>
        <v>12</v>
      </c>
      <c r="M1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1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5.0720000000000001</v>
      </c>
      <c r="Q185" s="41">
        <f>INDEX(Curva_Temp[Temp],MATCH(TBL_CalcDarwin[[#This Row],[Darwin Temp.
°C]],Curva_Temp[Temp]))</f>
        <v>15</v>
      </c>
      <c r="R185" s="41">
        <f>INDEX(Curva_Temp[Warranted Power Curve for 
1.194Kg/m3 air density '[kW']
SG 5.0-145 (AM+1, 5.2MW) AT 
90M],MATCH(TBL_CalcDarwin[[#This Row],[Darwin Temp.
°C]],Curva_Temp[Temp]))</f>
        <v>5200</v>
      </c>
      <c r="S185" s="41" cm="1">
        <f t="array" ref="S185">INDEX(Curva_Temp[Temp],MATCH(TBL_CalcDarwin[[#This Row],[Darwin Temp.
°C]],Curva_Temp[Temp])+1)</f>
        <v>20</v>
      </c>
      <c r="T185" s="41" cm="1">
        <f t="array" ref="T185">INDEX(Curva_Temp[Warranted Power Curve for 
1.194Kg/m3 air density '[kW']
SG 5.0-145 (AM+1, 5.2MW) AT 
90M],MATCH(TBL_CalcDarwin[[#This Row],[Darwin Temp.
°C]],Curva_Temp[Temp])+1)</f>
        <v>5000</v>
      </c>
      <c r="U1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85" s="41">
        <f>INDEX(Curva_Temp[Temp],MATCH(TBL_CalcDarwin[[#This Row],[Darwin Temp.
°C]],Curva_Temp[Temp]))</f>
        <v>15</v>
      </c>
      <c r="Z185" s="41">
        <f>INDEX(Curva_Temp[Warranted Power Curve for 
1.194Kg/m3 air density '[kW']
SG 5.0-145 (AM 0, 5.0MW) AT 
90M],MATCH(TBL_CalcDarwin[[#This Row],[Darwin Temp.
°C]],Curva_Temp[Temp]))</f>
        <v>5000</v>
      </c>
      <c r="AA185" s="41" cm="1">
        <f t="array" ref="AA185">INDEX(Curva_Temp[Temp],MATCH(TBL_CalcDarwin[[#This Row],[Darwin Temp.
°C]],Curva_Temp[Temp])+1)</f>
        <v>20</v>
      </c>
      <c r="AB185" s="41" cm="1">
        <f t="array" ref="AB185">INDEX(Curva_Temp[Warranted Power Curve for 
1.194Kg/m3 air density '[kW']
SG 5.0-145 (AM 0, 5.0MW) AT 
90M],MATCH(TBL_CalcDarwin[[#This Row],[Darwin Temp.
°C]],Curva_Temp[Temp])+1)</f>
        <v>5000</v>
      </c>
      <c r="AC185" s="45">
        <f>HLOOKUP(TBL_CalcDarwin[[#This Row],[Fecha]],'Plantilla AEG ES'!$E$1:$HX$13,2,FALSE)</f>
        <v>5</v>
      </c>
      <c r="AD185" s="45">
        <f>HLOOKUP(TBL_CalcDarwin[[#This Row],[Fecha]],'Plantilla AEG ES'!$E$1:$HX$13,3,FALSE)</f>
        <v>8</v>
      </c>
      <c r="AE185" s="45">
        <f>HLOOKUP(TBL_CalcDarwin[[#This Row],[Fecha]],'Plantilla AEG ES'!$E$1:$HX$13,4,FALSE)</f>
        <v>12</v>
      </c>
      <c r="AF185" s="45">
        <f>HLOOKUP(TBL_CalcDarwin[[#This Row],[Fecha]],'Plantilla AEG ES'!$E$1:$HX$13,5,FALSE)</f>
        <v>1</v>
      </c>
      <c r="AG185" s="45">
        <f>HLOOKUP(TBL_CalcDarwin[[#This Row],[Fecha]],'Plantilla AEG ES'!$E$1:$HX$13,6,FALSE)</f>
        <v>1</v>
      </c>
      <c r="AH185" s="45">
        <f>HLOOKUP(TBL_CalcDarwin[[#This Row],[Fecha]],'Plantilla AEG ES'!$E$1:$HX$13,7,FALSE)</f>
        <v>0</v>
      </c>
      <c r="AI185" s="46">
        <f>HLOOKUP(TBL_CalcDarwin[[#This Row],[Fecha]],'Plantilla AEG ES'!$E$1:$HX$13,8,FALSE)</f>
        <v>0</v>
      </c>
      <c r="AJ185" s="46">
        <f>HLOOKUP(TBL_CalcDarwin[[#This Row],[Fecha]],'Plantilla AEG ES'!$E$1:$HX$13,9,FALSE)</f>
        <v>3</v>
      </c>
      <c r="AK185" s="46">
        <f>HLOOKUP(TBL_CalcDarwin[[#This Row],[Fecha]],'Plantilla AEG ES'!$E$1:$HX$13,10,FALSE)</f>
        <v>12</v>
      </c>
      <c r="AL185" s="46">
        <f>HLOOKUP(TBL_CalcDarwin[[#This Row],[Fecha]],'Plantilla AEG ES'!$E$1:$HX$13,11,FALSE)</f>
        <v>1</v>
      </c>
      <c r="AM185" s="46">
        <f>HLOOKUP(TBL_CalcDarwin[[#This Row],[Fecha]],'Plantilla AEG ES'!$E$1:$HX$13,12,FALSE)</f>
        <v>7</v>
      </c>
      <c r="AN185" s="46">
        <f>HLOOKUP(TBL_CalcDarwin[[#This Row],[Fecha]],'Plantilla AEG ES'!$E$1:$HX$13,13,FALSE)</f>
        <v>1</v>
      </c>
      <c r="AO185" s="37">
        <f>TBL_CalcDarwin[[#This Row],[Lomitas - Barra A - 5.2 - Cerro]]+TBL_CalcDarwin[[#This Row],[Lomitas - Barra A - 5.2 - Medio]]+TBL_CalcDarwin[[#This Row],[Lomitas - Barra A - 5.2 - Mar]]</f>
        <v>25</v>
      </c>
      <c r="AP1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109.52600000000001</v>
      </c>
      <c r="AR1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111.379</v>
      </c>
      <c r="AS185" s="37">
        <f>TBL_CalcDarwin[[#This Row],[Expansión - Barra A - 5.2 - Cerro]]+TBL_CalcDarwin[[#This Row],[Expansión - Barra A - 5.2 - Medio]]+TBL_CalcDarwin[[#This Row],[Expansión - Barra A - 5.2 - Mar]]</f>
        <v>2</v>
      </c>
      <c r="AT185" s="37">
        <f>TBL_CalcDarwin[[#This Row],[Expansión - Barra B - 5.2 - Cerro]]</f>
        <v>1</v>
      </c>
      <c r="AU1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85" s="29">
        <f>TBL_CalcDarwin[[#This Row],[Expansión - Barra B - 5.2 - Cerro]]*TBL_CalcDarwin[[#This Row],[AEG 5.2 MW Cerro]]</f>
        <v>2.8780000000000001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5">
        <f t="shared" si="13"/>
        <v>45591.666666666228</v>
      </c>
      <c r="C186" s="17">
        <f t="shared" si="17"/>
        <v>7.6666666666666865</v>
      </c>
      <c r="D186" s="34">
        <f>TBL_CalcDarwin[[#This Row],[Darwin PLOM
MW]]+TBL_CalcDarwin[[#This Row],[Darwin PLOME
MW]]</f>
        <v>231.42499999999998</v>
      </c>
      <c r="E186" s="34">
        <f>TBL_CalcDarwin[[#This Row],[PLOM MW TOTAL BARRA A]]+TBL_CalcDarwin[[#This Row],[PLOM MW TOTAL BARRA B]]</f>
        <v>221.38499999999999</v>
      </c>
      <c r="F186" s="34">
        <f>TBL_CalcDarwin[[#This Row],[PLOME MW TOTAL BARRA A]]+TBL_CalcDarwin[[#This Row],[PLOME MW TOTAL BARRA B]]</f>
        <v>10.039999999999999</v>
      </c>
      <c r="G186" s="48">
        <f>'Plantilla Datos'!D191</f>
        <v>9.3000000000000007</v>
      </c>
      <c r="H186" s="48">
        <f>'Plantilla Datos'!E191</f>
        <v>11.6</v>
      </c>
      <c r="I186" s="49">
        <f>'Plantilla Datos'!F191</f>
        <v>17.7</v>
      </c>
      <c r="J186" s="47">
        <f>CEILING('Plantilla Datos'!$L$3*TBL_CalcDarwin[[#This Row],[Darwin Gusts
m/s]],0.5)</f>
        <v>8.5</v>
      </c>
      <c r="K186" s="47">
        <f>CEILING('Plantilla Datos'!$L$4*TBL_CalcDarwin[[#This Row],[Darwin Gusts
m/s]],0.5)</f>
        <v>10</v>
      </c>
      <c r="L186" s="47">
        <f>CEILING(TBL_CalcDarwin[[#This Row],[Darwin Gusts
m/s]],0.5)</f>
        <v>12</v>
      </c>
      <c r="M1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5.0919999999999996</v>
      </c>
      <c r="Q186" s="41">
        <f>INDEX(Curva_Temp[Temp],MATCH(TBL_CalcDarwin[[#This Row],[Darwin Temp.
°C]],Curva_Temp[Temp]))</f>
        <v>15</v>
      </c>
      <c r="R186" s="41">
        <f>INDEX(Curva_Temp[Warranted Power Curve for 
1.194Kg/m3 air density '[kW']
SG 5.0-145 (AM+1, 5.2MW) AT 
90M],MATCH(TBL_CalcDarwin[[#This Row],[Darwin Temp.
°C]],Curva_Temp[Temp]))</f>
        <v>5200</v>
      </c>
      <c r="S186" s="41" cm="1">
        <f t="array" ref="S186">INDEX(Curva_Temp[Temp],MATCH(TBL_CalcDarwin[[#This Row],[Darwin Temp.
°C]],Curva_Temp[Temp])+1)</f>
        <v>20</v>
      </c>
      <c r="T186" s="41" cm="1">
        <f t="array" ref="T186">INDEX(Curva_Temp[Warranted Power Curve for 
1.194Kg/m3 air density '[kW']
SG 5.0-145 (AM+1, 5.2MW) AT 
90M],MATCH(TBL_CalcDarwin[[#This Row],[Darwin Temp.
°C]],Curva_Temp[Temp])+1)</f>
        <v>5000</v>
      </c>
      <c r="U1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86" s="41">
        <f>INDEX(Curva_Temp[Temp],MATCH(TBL_CalcDarwin[[#This Row],[Darwin Temp.
°C]],Curva_Temp[Temp]))</f>
        <v>15</v>
      </c>
      <c r="Z186" s="41">
        <f>INDEX(Curva_Temp[Warranted Power Curve for 
1.194Kg/m3 air density '[kW']
SG 5.0-145 (AM 0, 5.0MW) AT 
90M],MATCH(TBL_CalcDarwin[[#This Row],[Darwin Temp.
°C]],Curva_Temp[Temp]))</f>
        <v>5000</v>
      </c>
      <c r="AA186" s="41" cm="1">
        <f t="array" ref="AA186">INDEX(Curva_Temp[Temp],MATCH(TBL_CalcDarwin[[#This Row],[Darwin Temp.
°C]],Curva_Temp[Temp])+1)</f>
        <v>20</v>
      </c>
      <c r="AB186" s="41" cm="1">
        <f t="array" ref="AB186">INDEX(Curva_Temp[Warranted Power Curve for 
1.194Kg/m3 air density '[kW']
SG 5.0-145 (AM 0, 5.0MW) AT 
90M],MATCH(TBL_CalcDarwin[[#This Row],[Darwin Temp.
°C]],Curva_Temp[Temp])+1)</f>
        <v>5000</v>
      </c>
      <c r="AC186" s="45">
        <f>HLOOKUP(TBL_CalcDarwin[[#This Row],[Fecha]],'Plantilla AEG ES'!$E$1:$HX$13,2,FALSE)</f>
        <v>5</v>
      </c>
      <c r="AD186" s="45">
        <f>HLOOKUP(TBL_CalcDarwin[[#This Row],[Fecha]],'Plantilla AEG ES'!$E$1:$HX$13,3,FALSE)</f>
        <v>8</v>
      </c>
      <c r="AE186" s="45">
        <f>HLOOKUP(TBL_CalcDarwin[[#This Row],[Fecha]],'Plantilla AEG ES'!$E$1:$HX$13,4,FALSE)</f>
        <v>12</v>
      </c>
      <c r="AF186" s="45">
        <f>HLOOKUP(TBL_CalcDarwin[[#This Row],[Fecha]],'Plantilla AEG ES'!$E$1:$HX$13,5,FALSE)</f>
        <v>1</v>
      </c>
      <c r="AG186" s="45">
        <f>HLOOKUP(TBL_CalcDarwin[[#This Row],[Fecha]],'Plantilla AEG ES'!$E$1:$HX$13,6,FALSE)</f>
        <v>1</v>
      </c>
      <c r="AH186" s="45">
        <f>HLOOKUP(TBL_CalcDarwin[[#This Row],[Fecha]],'Plantilla AEG ES'!$E$1:$HX$13,7,FALSE)</f>
        <v>0</v>
      </c>
      <c r="AI186" s="46">
        <f>HLOOKUP(TBL_CalcDarwin[[#This Row],[Fecha]],'Plantilla AEG ES'!$E$1:$HX$13,8,FALSE)</f>
        <v>0</v>
      </c>
      <c r="AJ186" s="46">
        <f>HLOOKUP(TBL_CalcDarwin[[#This Row],[Fecha]],'Plantilla AEG ES'!$E$1:$HX$13,9,FALSE)</f>
        <v>3</v>
      </c>
      <c r="AK186" s="46">
        <f>HLOOKUP(TBL_CalcDarwin[[#This Row],[Fecha]],'Plantilla AEG ES'!$E$1:$HX$13,10,FALSE)</f>
        <v>12</v>
      </c>
      <c r="AL186" s="46">
        <f>HLOOKUP(TBL_CalcDarwin[[#This Row],[Fecha]],'Plantilla AEG ES'!$E$1:$HX$13,11,FALSE)</f>
        <v>1</v>
      </c>
      <c r="AM186" s="46">
        <f>HLOOKUP(TBL_CalcDarwin[[#This Row],[Fecha]],'Plantilla AEG ES'!$E$1:$HX$13,12,FALSE)</f>
        <v>7</v>
      </c>
      <c r="AN186" s="46">
        <f>HLOOKUP(TBL_CalcDarwin[[#This Row],[Fecha]],'Plantilla AEG ES'!$E$1:$HX$13,13,FALSE)</f>
        <v>1</v>
      </c>
      <c r="AO186" s="37">
        <f>TBL_CalcDarwin[[#This Row],[Lomitas - Barra A - 5.2 - Cerro]]+TBL_CalcDarwin[[#This Row],[Lomitas - Barra A - 5.2 - Medio]]+TBL_CalcDarwin[[#This Row],[Lomitas - Barra A - 5.2 - Mar]]</f>
        <v>25</v>
      </c>
      <c r="AP1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109.76599999999999</v>
      </c>
      <c r="AR1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111.619</v>
      </c>
      <c r="AS186" s="37">
        <f>TBL_CalcDarwin[[#This Row],[Expansión - Barra A - 5.2 - Cerro]]+TBL_CalcDarwin[[#This Row],[Expansión - Barra A - 5.2 - Medio]]+TBL_CalcDarwin[[#This Row],[Expansión - Barra A - 5.2 - Mar]]</f>
        <v>2</v>
      </c>
      <c r="AT186" s="37">
        <f>TBL_CalcDarwin[[#This Row],[Expansión - Barra B - 5.2 - Cerro]]</f>
        <v>1</v>
      </c>
      <c r="AU1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86" s="29">
        <f>TBL_CalcDarwin[[#This Row],[Expansión - Barra B - 5.2 - Cerro]]*TBL_CalcDarwin[[#This Row],[AEG 5.2 MW Cerro]]</f>
        <v>2.8780000000000001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5">
        <f t="shared" si="13"/>
        <v>45591.708333332892</v>
      </c>
      <c r="C187" s="17">
        <f t="shared" si="17"/>
        <v>7.7083333333333535</v>
      </c>
      <c r="D187" s="34">
        <f>TBL_CalcDarwin[[#This Row],[Darwin PLOM
MW]]+TBL_CalcDarwin[[#This Row],[Darwin PLOME
MW]]</f>
        <v>231.809</v>
      </c>
      <c r="E187" s="34">
        <f>TBL_CalcDarwin[[#This Row],[PLOM MW TOTAL BARRA A]]+TBL_CalcDarwin[[#This Row],[PLOM MW TOTAL BARRA B]]</f>
        <v>221.76900000000001</v>
      </c>
      <c r="F187" s="34">
        <f>TBL_CalcDarwin[[#This Row],[PLOME MW TOTAL BARRA A]]+TBL_CalcDarwin[[#This Row],[PLOME MW TOTAL BARRA B]]</f>
        <v>10.039999999999999</v>
      </c>
      <c r="G187" s="48">
        <f>'Plantilla Datos'!D192</f>
        <v>9.4</v>
      </c>
      <c r="H187" s="48">
        <f>'Plantilla Datos'!E192</f>
        <v>11.7</v>
      </c>
      <c r="I187" s="49">
        <f>'Plantilla Datos'!F192</f>
        <v>17.3</v>
      </c>
      <c r="J187" s="47">
        <f>CEILING('Plantilla Datos'!$L$3*TBL_CalcDarwin[[#This Row],[Darwin Gusts
m/s]],0.5)</f>
        <v>8.5</v>
      </c>
      <c r="K187" s="47">
        <f>CEILING('Plantilla Datos'!$L$4*TBL_CalcDarwin[[#This Row],[Darwin Gusts
m/s]],0.5)</f>
        <v>10</v>
      </c>
      <c r="L187" s="47">
        <f>CEILING(TBL_CalcDarwin[[#This Row],[Darwin Gusts
m/s]],0.5)</f>
        <v>12</v>
      </c>
      <c r="M1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5.1079999999999997</v>
      </c>
      <c r="Q187" s="41">
        <f>INDEX(Curva_Temp[Temp],MATCH(TBL_CalcDarwin[[#This Row],[Darwin Temp.
°C]],Curva_Temp[Temp]))</f>
        <v>15</v>
      </c>
      <c r="R187" s="41">
        <f>INDEX(Curva_Temp[Warranted Power Curve for 
1.194Kg/m3 air density '[kW']
SG 5.0-145 (AM+1, 5.2MW) AT 
90M],MATCH(TBL_CalcDarwin[[#This Row],[Darwin Temp.
°C]],Curva_Temp[Temp]))</f>
        <v>5200</v>
      </c>
      <c r="S187" s="41" cm="1">
        <f t="array" ref="S187">INDEX(Curva_Temp[Temp],MATCH(TBL_CalcDarwin[[#This Row],[Darwin Temp.
°C]],Curva_Temp[Temp])+1)</f>
        <v>20</v>
      </c>
      <c r="T187" s="41" cm="1">
        <f t="array" ref="T187">INDEX(Curva_Temp[Warranted Power Curve for 
1.194Kg/m3 air density '[kW']
SG 5.0-145 (AM+1, 5.2MW) AT 
90M],MATCH(TBL_CalcDarwin[[#This Row],[Darwin Temp.
°C]],Curva_Temp[Temp])+1)</f>
        <v>5000</v>
      </c>
      <c r="U1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87" s="41">
        <f>INDEX(Curva_Temp[Temp],MATCH(TBL_CalcDarwin[[#This Row],[Darwin Temp.
°C]],Curva_Temp[Temp]))</f>
        <v>15</v>
      </c>
      <c r="Z187" s="41">
        <f>INDEX(Curva_Temp[Warranted Power Curve for 
1.194Kg/m3 air density '[kW']
SG 5.0-145 (AM 0, 5.0MW) AT 
90M],MATCH(TBL_CalcDarwin[[#This Row],[Darwin Temp.
°C]],Curva_Temp[Temp]))</f>
        <v>5000</v>
      </c>
      <c r="AA187" s="41" cm="1">
        <f t="array" ref="AA187">INDEX(Curva_Temp[Temp],MATCH(TBL_CalcDarwin[[#This Row],[Darwin Temp.
°C]],Curva_Temp[Temp])+1)</f>
        <v>20</v>
      </c>
      <c r="AB187" s="41" cm="1">
        <f t="array" ref="AB187">INDEX(Curva_Temp[Warranted Power Curve for 
1.194Kg/m3 air density '[kW']
SG 5.0-145 (AM 0, 5.0MW) AT 
90M],MATCH(TBL_CalcDarwin[[#This Row],[Darwin Temp.
°C]],Curva_Temp[Temp])+1)</f>
        <v>5000</v>
      </c>
      <c r="AC187" s="45">
        <f>HLOOKUP(TBL_CalcDarwin[[#This Row],[Fecha]],'Plantilla AEG ES'!$E$1:$HX$13,2,FALSE)</f>
        <v>5</v>
      </c>
      <c r="AD187" s="45">
        <f>HLOOKUP(TBL_CalcDarwin[[#This Row],[Fecha]],'Plantilla AEG ES'!$E$1:$HX$13,3,FALSE)</f>
        <v>8</v>
      </c>
      <c r="AE187" s="45">
        <f>HLOOKUP(TBL_CalcDarwin[[#This Row],[Fecha]],'Plantilla AEG ES'!$E$1:$HX$13,4,FALSE)</f>
        <v>12</v>
      </c>
      <c r="AF187" s="45">
        <f>HLOOKUP(TBL_CalcDarwin[[#This Row],[Fecha]],'Plantilla AEG ES'!$E$1:$HX$13,5,FALSE)</f>
        <v>1</v>
      </c>
      <c r="AG187" s="45">
        <f>HLOOKUP(TBL_CalcDarwin[[#This Row],[Fecha]],'Plantilla AEG ES'!$E$1:$HX$13,6,FALSE)</f>
        <v>1</v>
      </c>
      <c r="AH187" s="45">
        <f>HLOOKUP(TBL_CalcDarwin[[#This Row],[Fecha]],'Plantilla AEG ES'!$E$1:$HX$13,7,FALSE)</f>
        <v>0</v>
      </c>
      <c r="AI187" s="46">
        <f>HLOOKUP(TBL_CalcDarwin[[#This Row],[Fecha]],'Plantilla AEG ES'!$E$1:$HX$13,8,FALSE)</f>
        <v>0</v>
      </c>
      <c r="AJ187" s="46">
        <f>HLOOKUP(TBL_CalcDarwin[[#This Row],[Fecha]],'Plantilla AEG ES'!$E$1:$HX$13,9,FALSE)</f>
        <v>3</v>
      </c>
      <c r="AK187" s="46">
        <f>HLOOKUP(TBL_CalcDarwin[[#This Row],[Fecha]],'Plantilla AEG ES'!$E$1:$HX$13,10,FALSE)</f>
        <v>12</v>
      </c>
      <c r="AL187" s="46">
        <f>HLOOKUP(TBL_CalcDarwin[[#This Row],[Fecha]],'Plantilla AEG ES'!$E$1:$HX$13,11,FALSE)</f>
        <v>1</v>
      </c>
      <c r="AM187" s="46">
        <f>HLOOKUP(TBL_CalcDarwin[[#This Row],[Fecha]],'Plantilla AEG ES'!$E$1:$HX$13,12,FALSE)</f>
        <v>7</v>
      </c>
      <c r="AN187" s="46">
        <f>HLOOKUP(TBL_CalcDarwin[[#This Row],[Fecha]],'Plantilla AEG ES'!$E$1:$HX$13,13,FALSE)</f>
        <v>1</v>
      </c>
      <c r="AO187" s="37">
        <f>TBL_CalcDarwin[[#This Row],[Lomitas - Barra A - 5.2 - Cerro]]+TBL_CalcDarwin[[#This Row],[Lomitas - Barra A - 5.2 - Medio]]+TBL_CalcDarwin[[#This Row],[Lomitas - Barra A - 5.2 - Mar]]</f>
        <v>25</v>
      </c>
      <c r="AP1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109.958</v>
      </c>
      <c r="AR1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111.81099999999999</v>
      </c>
      <c r="AS187" s="37">
        <f>TBL_CalcDarwin[[#This Row],[Expansión - Barra A - 5.2 - Cerro]]+TBL_CalcDarwin[[#This Row],[Expansión - Barra A - 5.2 - Medio]]+TBL_CalcDarwin[[#This Row],[Expansión - Barra A - 5.2 - Mar]]</f>
        <v>2</v>
      </c>
      <c r="AT187" s="37">
        <f>TBL_CalcDarwin[[#This Row],[Expansión - Barra B - 5.2 - Cerro]]</f>
        <v>1</v>
      </c>
      <c r="AU1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87" s="29">
        <f>TBL_CalcDarwin[[#This Row],[Expansión - Barra B - 5.2 - Cerro]]*TBL_CalcDarwin[[#This Row],[AEG 5.2 MW Cerro]]</f>
        <v>2.8780000000000001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5">
        <f t="shared" si="13"/>
        <v>45591.749999999556</v>
      </c>
      <c r="C188" s="17">
        <f t="shared" si="17"/>
        <v>7.7500000000000204</v>
      </c>
      <c r="D188" s="34">
        <f>TBL_CalcDarwin[[#This Row],[Darwin PLOM
MW]]+TBL_CalcDarwin[[#This Row],[Darwin PLOME
MW]]</f>
        <v>232.28900000000002</v>
      </c>
      <c r="E188" s="34">
        <f>TBL_CalcDarwin[[#This Row],[PLOM MW TOTAL BARRA A]]+TBL_CalcDarwin[[#This Row],[PLOM MW TOTAL BARRA B]]</f>
        <v>222.24900000000002</v>
      </c>
      <c r="F188" s="34">
        <f>TBL_CalcDarwin[[#This Row],[PLOME MW TOTAL BARRA A]]+TBL_CalcDarwin[[#This Row],[PLOME MW TOTAL BARRA B]]</f>
        <v>10.039999999999999</v>
      </c>
      <c r="G188" s="48">
        <f>'Plantilla Datos'!D193</f>
        <v>9.4</v>
      </c>
      <c r="H188" s="48">
        <f>'Plantilla Datos'!E193</f>
        <v>11.7</v>
      </c>
      <c r="I188" s="49">
        <f>'Plantilla Datos'!F193</f>
        <v>16.8</v>
      </c>
      <c r="J188" s="47">
        <f>CEILING('Plantilla Datos'!$L$3*TBL_CalcDarwin[[#This Row],[Darwin Gusts
m/s]],0.5)</f>
        <v>8.5</v>
      </c>
      <c r="K188" s="47">
        <f>CEILING('Plantilla Datos'!$L$4*TBL_CalcDarwin[[#This Row],[Darwin Gusts
m/s]],0.5)</f>
        <v>10</v>
      </c>
      <c r="L188" s="47">
        <f>CEILING(TBL_CalcDarwin[[#This Row],[Darwin Gusts
m/s]],0.5)</f>
        <v>12</v>
      </c>
      <c r="M1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5.1280000000000001</v>
      </c>
      <c r="Q188" s="41">
        <f>INDEX(Curva_Temp[Temp],MATCH(TBL_CalcDarwin[[#This Row],[Darwin Temp.
°C]],Curva_Temp[Temp]))</f>
        <v>15</v>
      </c>
      <c r="R188" s="41">
        <f>INDEX(Curva_Temp[Warranted Power Curve for 
1.194Kg/m3 air density '[kW']
SG 5.0-145 (AM+1, 5.2MW) AT 
90M],MATCH(TBL_CalcDarwin[[#This Row],[Darwin Temp.
°C]],Curva_Temp[Temp]))</f>
        <v>5200</v>
      </c>
      <c r="S188" s="41" cm="1">
        <f t="array" ref="S188">INDEX(Curva_Temp[Temp],MATCH(TBL_CalcDarwin[[#This Row],[Darwin Temp.
°C]],Curva_Temp[Temp])+1)</f>
        <v>20</v>
      </c>
      <c r="T188" s="41" cm="1">
        <f t="array" ref="T188">INDEX(Curva_Temp[Warranted Power Curve for 
1.194Kg/m3 air density '[kW']
SG 5.0-145 (AM+1, 5.2MW) AT 
90M],MATCH(TBL_CalcDarwin[[#This Row],[Darwin Temp.
°C]],Curva_Temp[Temp])+1)</f>
        <v>5000</v>
      </c>
      <c r="U1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88" s="41">
        <f>INDEX(Curva_Temp[Temp],MATCH(TBL_CalcDarwin[[#This Row],[Darwin Temp.
°C]],Curva_Temp[Temp]))</f>
        <v>15</v>
      </c>
      <c r="Z188" s="41">
        <f>INDEX(Curva_Temp[Warranted Power Curve for 
1.194Kg/m3 air density '[kW']
SG 5.0-145 (AM 0, 5.0MW) AT 
90M],MATCH(TBL_CalcDarwin[[#This Row],[Darwin Temp.
°C]],Curva_Temp[Temp]))</f>
        <v>5000</v>
      </c>
      <c r="AA188" s="41" cm="1">
        <f t="array" ref="AA188">INDEX(Curva_Temp[Temp],MATCH(TBL_CalcDarwin[[#This Row],[Darwin Temp.
°C]],Curva_Temp[Temp])+1)</f>
        <v>20</v>
      </c>
      <c r="AB188" s="41" cm="1">
        <f t="array" ref="AB188">INDEX(Curva_Temp[Warranted Power Curve for 
1.194Kg/m3 air density '[kW']
SG 5.0-145 (AM 0, 5.0MW) AT 
90M],MATCH(TBL_CalcDarwin[[#This Row],[Darwin Temp.
°C]],Curva_Temp[Temp])+1)</f>
        <v>5000</v>
      </c>
      <c r="AC188" s="45">
        <f>HLOOKUP(TBL_CalcDarwin[[#This Row],[Fecha]],'Plantilla AEG ES'!$E$1:$HX$13,2,FALSE)</f>
        <v>5</v>
      </c>
      <c r="AD188" s="45">
        <f>HLOOKUP(TBL_CalcDarwin[[#This Row],[Fecha]],'Plantilla AEG ES'!$E$1:$HX$13,3,FALSE)</f>
        <v>8</v>
      </c>
      <c r="AE188" s="45">
        <f>HLOOKUP(TBL_CalcDarwin[[#This Row],[Fecha]],'Plantilla AEG ES'!$E$1:$HX$13,4,FALSE)</f>
        <v>12</v>
      </c>
      <c r="AF188" s="45">
        <f>HLOOKUP(TBL_CalcDarwin[[#This Row],[Fecha]],'Plantilla AEG ES'!$E$1:$HX$13,5,FALSE)</f>
        <v>1</v>
      </c>
      <c r="AG188" s="45">
        <f>HLOOKUP(TBL_CalcDarwin[[#This Row],[Fecha]],'Plantilla AEG ES'!$E$1:$HX$13,6,FALSE)</f>
        <v>1</v>
      </c>
      <c r="AH188" s="45">
        <f>HLOOKUP(TBL_CalcDarwin[[#This Row],[Fecha]],'Plantilla AEG ES'!$E$1:$HX$13,7,FALSE)</f>
        <v>0</v>
      </c>
      <c r="AI188" s="46">
        <f>HLOOKUP(TBL_CalcDarwin[[#This Row],[Fecha]],'Plantilla AEG ES'!$E$1:$HX$13,8,FALSE)</f>
        <v>0</v>
      </c>
      <c r="AJ188" s="46">
        <f>HLOOKUP(TBL_CalcDarwin[[#This Row],[Fecha]],'Plantilla AEG ES'!$E$1:$HX$13,9,FALSE)</f>
        <v>3</v>
      </c>
      <c r="AK188" s="46">
        <f>HLOOKUP(TBL_CalcDarwin[[#This Row],[Fecha]],'Plantilla AEG ES'!$E$1:$HX$13,10,FALSE)</f>
        <v>12</v>
      </c>
      <c r="AL188" s="46">
        <f>HLOOKUP(TBL_CalcDarwin[[#This Row],[Fecha]],'Plantilla AEG ES'!$E$1:$HX$13,11,FALSE)</f>
        <v>1</v>
      </c>
      <c r="AM188" s="46">
        <f>HLOOKUP(TBL_CalcDarwin[[#This Row],[Fecha]],'Plantilla AEG ES'!$E$1:$HX$13,12,FALSE)</f>
        <v>7</v>
      </c>
      <c r="AN188" s="46">
        <f>HLOOKUP(TBL_CalcDarwin[[#This Row],[Fecha]],'Plantilla AEG ES'!$E$1:$HX$13,13,FALSE)</f>
        <v>1</v>
      </c>
      <c r="AO188" s="37">
        <f>TBL_CalcDarwin[[#This Row],[Lomitas - Barra A - 5.2 - Cerro]]+TBL_CalcDarwin[[#This Row],[Lomitas - Barra A - 5.2 - Medio]]+TBL_CalcDarwin[[#This Row],[Lomitas - Barra A - 5.2 - Mar]]</f>
        <v>25</v>
      </c>
      <c r="AP1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110.19800000000001</v>
      </c>
      <c r="AR1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112.051</v>
      </c>
      <c r="AS188" s="37">
        <f>TBL_CalcDarwin[[#This Row],[Expansión - Barra A - 5.2 - Cerro]]+TBL_CalcDarwin[[#This Row],[Expansión - Barra A - 5.2 - Medio]]+TBL_CalcDarwin[[#This Row],[Expansión - Barra A - 5.2 - Mar]]</f>
        <v>2</v>
      </c>
      <c r="AT188" s="37">
        <f>TBL_CalcDarwin[[#This Row],[Expansión - Barra B - 5.2 - Cerro]]</f>
        <v>1</v>
      </c>
      <c r="AU1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88" s="29">
        <f>TBL_CalcDarwin[[#This Row],[Expansión - Barra B - 5.2 - Cerro]]*TBL_CalcDarwin[[#This Row],[AEG 5.2 MW Cerro]]</f>
        <v>2.8780000000000001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5">
        <f t="shared" si="13"/>
        <v>45591.79166666622</v>
      </c>
      <c r="C189" s="17">
        <f t="shared" si="17"/>
        <v>7.7916666666666874</v>
      </c>
      <c r="D189" s="34">
        <f>TBL_CalcDarwin[[#This Row],[Darwin PLOM
MW]]+TBL_CalcDarwin[[#This Row],[Darwin PLOME
MW]]</f>
        <v>241.40200000000002</v>
      </c>
      <c r="E189" s="34">
        <f>TBL_CalcDarwin[[#This Row],[PLOM MW TOTAL BARRA A]]+TBL_CalcDarwin[[#This Row],[PLOM MW TOTAL BARRA B]]</f>
        <v>230.00700000000001</v>
      </c>
      <c r="F189" s="34">
        <f>TBL_CalcDarwin[[#This Row],[PLOME MW TOTAL BARRA A]]+TBL_CalcDarwin[[#This Row],[PLOME MW TOTAL BARRA B]]</f>
        <v>11.395</v>
      </c>
      <c r="G189" s="48">
        <f>'Plantilla Datos'!D194</f>
        <v>9.5</v>
      </c>
      <c r="H189" s="48">
        <f>'Plantilla Datos'!E194</f>
        <v>11.8</v>
      </c>
      <c r="I189" s="49">
        <f>'Plantilla Datos'!F194</f>
        <v>16.100000000000001</v>
      </c>
      <c r="J189" s="47">
        <f>CEILING('Plantilla Datos'!$L$3*TBL_CalcDarwin[[#This Row],[Darwin Gusts
m/s]],0.5)</f>
        <v>9</v>
      </c>
      <c r="K189" s="47">
        <f>CEILING('Plantilla Datos'!$L$4*TBL_CalcDarwin[[#This Row],[Darwin Gusts
m/s]],0.5)</f>
        <v>10.5</v>
      </c>
      <c r="L189" s="47">
        <f>CEILING(TBL_CalcDarwin[[#This Row],[Darwin Gusts
m/s]],0.5)</f>
        <v>12</v>
      </c>
      <c r="M1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5.1559999999999997</v>
      </c>
      <c r="Q189" s="41">
        <f>INDEX(Curva_Temp[Temp],MATCH(TBL_CalcDarwin[[#This Row],[Darwin Temp.
°C]],Curva_Temp[Temp]))</f>
        <v>15</v>
      </c>
      <c r="R189" s="41">
        <f>INDEX(Curva_Temp[Warranted Power Curve for 
1.194Kg/m3 air density '[kW']
SG 5.0-145 (AM+1, 5.2MW) AT 
90M],MATCH(TBL_CalcDarwin[[#This Row],[Darwin Temp.
°C]],Curva_Temp[Temp]))</f>
        <v>5200</v>
      </c>
      <c r="S189" s="41" cm="1">
        <f t="array" ref="S189">INDEX(Curva_Temp[Temp],MATCH(TBL_CalcDarwin[[#This Row],[Darwin Temp.
°C]],Curva_Temp[Temp])+1)</f>
        <v>20</v>
      </c>
      <c r="T189" s="41" cm="1">
        <f t="array" ref="T189">INDEX(Curva_Temp[Warranted Power Curve for 
1.194Kg/m3 air density '[kW']
SG 5.0-145 (AM+1, 5.2MW) AT 
90M],MATCH(TBL_CalcDarwin[[#This Row],[Darwin Temp.
°C]],Curva_Temp[Temp])+1)</f>
        <v>5000</v>
      </c>
      <c r="U1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89" s="41">
        <f>INDEX(Curva_Temp[Temp],MATCH(TBL_CalcDarwin[[#This Row],[Darwin Temp.
°C]],Curva_Temp[Temp]))</f>
        <v>15</v>
      </c>
      <c r="Z189" s="41">
        <f>INDEX(Curva_Temp[Warranted Power Curve for 
1.194Kg/m3 air density '[kW']
SG 5.0-145 (AM 0, 5.0MW) AT 
90M],MATCH(TBL_CalcDarwin[[#This Row],[Darwin Temp.
°C]],Curva_Temp[Temp]))</f>
        <v>5000</v>
      </c>
      <c r="AA189" s="41" cm="1">
        <f t="array" ref="AA189">INDEX(Curva_Temp[Temp],MATCH(TBL_CalcDarwin[[#This Row],[Darwin Temp.
°C]],Curva_Temp[Temp])+1)</f>
        <v>20</v>
      </c>
      <c r="AB189" s="41" cm="1">
        <f t="array" ref="AB189">INDEX(Curva_Temp[Warranted Power Curve for 
1.194Kg/m3 air density '[kW']
SG 5.0-145 (AM 0, 5.0MW) AT 
90M],MATCH(TBL_CalcDarwin[[#This Row],[Darwin Temp.
°C]],Curva_Temp[Temp])+1)</f>
        <v>5000</v>
      </c>
      <c r="AC189" s="45">
        <f>HLOOKUP(TBL_CalcDarwin[[#This Row],[Fecha]],'Plantilla AEG ES'!$E$1:$HX$13,2,FALSE)</f>
        <v>5</v>
      </c>
      <c r="AD189" s="45">
        <f>HLOOKUP(TBL_CalcDarwin[[#This Row],[Fecha]],'Plantilla AEG ES'!$E$1:$HX$13,3,FALSE)</f>
        <v>8</v>
      </c>
      <c r="AE189" s="45">
        <f>HLOOKUP(TBL_CalcDarwin[[#This Row],[Fecha]],'Plantilla AEG ES'!$E$1:$HX$13,4,FALSE)</f>
        <v>12</v>
      </c>
      <c r="AF189" s="45">
        <f>HLOOKUP(TBL_CalcDarwin[[#This Row],[Fecha]],'Plantilla AEG ES'!$E$1:$HX$13,5,FALSE)</f>
        <v>1</v>
      </c>
      <c r="AG189" s="45">
        <f>HLOOKUP(TBL_CalcDarwin[[#This Row],[Fecha]],'Plantilla AEG ES'!$E$1:$HX$13,6,FALSE)</f>
        <v>1</v>
      </c>
      <c r="AH189" s="45">
        <f>HLOOKUP(TBL_CalcDarwin[[#This Row],[Fecha]],'Plantilla AEG ES'!$E$1:$HX$13,7,FALSE)</f>
        <v>0</v>
      </c>
      <c r="AI189" s="46">
        <f>HLOOKUP(TBL_CalcDarwin[[#This Row],[Fecha]],'Plantilla AEG ES'!$E$1:$HX$13,8,FALSE)</f>
        <v>0</v>
      </c>
      <c r="AJ189" s="46">
        <f>HLOOKUP(TBL_CalcDarwin[[#This Row],[Fecha]],'Plantilla AEG ES'!$E$1:$HX$13,9,FALSE)</f>
        <v>3</v>
      </c>
      <c r="AK189" s="46">
        <f>HLOOKUP(TBL_CalcDarwin[[#This Row],[Fecha]],'Plantilla AEG ES'!$E$1:$HX$13,10,FALSE)</f>
        <v>12</v>
      </c>
      <c r="AL189" s="46">
        <f>HLOOKUP(TBL_CalcDarwin[[#This Row],[Fecha]],'Plantilla AEG ES'!$E$1:$HX$13,11,FALSE)</f>
        <v>1</v>
      </c>
      <c r="AM189" s="46">
        <f>HLOOKUP(TBL_CalcDarwin[[#This Row],[Fecha]],'Plantilla AEG ES'!$E$1:$HX$13,12,FALSE)</f>
        <v>7</v>
      </c>
      <c r="AN189" s="46">
        <f>HLOOKUP(TBL_CalcDarwin[[#This Row],[Fecha]],'Plantilla AEG ES'!$E$1:$HX$13,13,FALSE)</f>
        <v>1</v>
      </c>
      <c r="AO189" s="37">
        <f>TBL_CalcDarwin[[#This Row],[Lomitas - Barra A - 5.2 - Cerro]]+TBL_CalcDarwin[[#This Row],[Lomitas - Barra A - 5.2 - Medio]]+TBL_CalcDarwin[[#This Row],[Lomitas - Barra A - 5.2 - Mar]]</f>
        <v>25</v>
      </c>
      <c r="AP1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116.006</v>
      </c>
      <c r="AR1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114.001</v>
      </c>
      <c r="AS189" s="37">
        <f>TBL_CalcDarwin[[#This Row],[Expansión - Barra A - 5.2 - Cerro]]+TBL_CalcDarwin[[#This Row],[Expansión - Barra A - 5.2 - Medio]]+TBL_CalcDarwin[[#This Row],[Expansión - Barra A - 5.2 - Mar]]</f>
        <v>2</v>
      </c>
      <c r="AT189" s="37">
        <f>TBL_CalcDarwin[[#This Row],[Expansión - Barra B - 5.2 - Cerro]]</f>
        <v>1</v>
      </c>
      <c r="AU1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89" s="29">
        <f>TBL_CalcDarwin[[#This Row],[Expansión - Barra B - 5.2 - Cerro]]*TBL_CalcDarwin[[#This Row],[AEG 5.2 MW Cerro]]</f>
        <v>3.3660000000000001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5">
        <f t="shared" si="13"/>
        <v>45591.833333332885</v>
      </c>
      <c r="C190" s="17">
        <f t="shared" si="17"/>
        <v>7.8333333333333544</v>
      </c>
      <c r="D190" s="34">
        <f>TBL_CalcDarwin[[#This Row],[Darwin PLOM
MW]]+TBL_CalcDarwin[[#This Row],[Darwin PLOME
MW]]</f>
        <v>217.79000000000002</v>
      </c>
      <c r="E190" s="34">
        <f>TBL_CalcDarwin[[#This Row],[PLOM MW TOTAL BARRA A]]+TBL_CalcDarwin[[#This Row],[PLOM MW TOTAL BARRA B]]</f>
        <v>209.13000000000002</v>
      </c>
      <c r="F190" s="34">
        <f>TBL_CalcDarwin[[#This Row],[PLOME MW TOTAL BARRA A]]+TBL_CalcDarwin[[#This Row],[PLOME MW TOTAL BARRA B]]</f>
        <v>8.66</v>
      </c>
      <c r="G190" s="48">
        <f>'Plantilla Datos'!D195</f>
        <v>8.6999999999999993</v>
      </c>
      <c r="H190" s="48">
        <f>'Plantilla Datos'!E195</f>
        <v>10.8</v>
      </c>
      <c r="I190" s="49">
        <f>'Plantilla Datos'!F195</f>
        <v>16.100000000000001</v>
      </c>
      <c r="J190" s="47">
        <f>CEILING('Plantilla Datos'!$L$3*TBL_CalcDarwin[[#This Row],[Darwin Gusts
m/s]],0.5)</f>
        <v>8</v>
      </c>
      <c r="K190" s="47">
        <f>CEILING('Plantilla Datos'!$L$4*TBL_CalcDarwin[[#This Row],[Darwin Gusts
m/s]],0.5)</f>
        <v>9.5</v>
      </c>
      <c r="L190" s="47">
        <f>CEILING(TBL_CalcDarwin[[#This Row],[Darwin Gusts
m/s]],0.5)</f>
        <v>11</v>
      </c>
      <c r="M1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90" s="41">
        <f>INDEX(Curva_Temp[Temp],MATCH(TBL_CalcDarwin[[#This Row],[Darwin Temp.
°C]],Curva_Temp[Temp]))</f>
        <v>15</v>
      </c>
      <c r="R190" s="41">
        <f>INDEX(Curva_Temp[Warranted Power Curve for 
1.194Kg/m3 air density '[kW']
SG 5.0-145 (AM+1, 5.2MW) AT 
90M],MATCH(TBL_CalcDarwin[[#This Row],[Darwin Temp.
°C]],Curva_Temp[Temp]))</f>
        <v>5200</v>
      </c>
      <c r="S190" s="41" cm="1">
        <f t="array" ref="S190">INDEX(Curva_Temp[Temp],MATCH(TBL_CalcDarwin[[#This Row],[Darwin Temp.
°C]],Curva_Temp[Temp])+1)</f>
        <v>20</v>
      </c>
      <c r="T190" s="41" cm="1">
        <f t="array" ref="T190">INDEX(Curva_Temp[Warranted Power Curve for 
1.194Kg/m3 air density '[kW']
SG 5.0-145 (AM+1, 5.2MW) AT 
90M],MATCH(TBL_CalcDarwin[[#This Row],[Darwin Temp.
°C]],Curva_Temp[Temp])+1)</f>
        <v>5000</v>
      </c>
      <c r="U1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90" s="41">
        <f>INDEX(Curva_Temp[Temp],MATCH(TBL_CalcDarwin[[#This Row],[Darwin Temp.
°C]],Curva_Temp[Temp]))</f>
        <v>15</v>
      </c>
      <c r="Z190" s="41">
        <f>INDEX(Curva_Temp[Warranted Power Curve for 
1.194Kg/m3 air density '[kW']
SG 5.0-145 (AM 0, 5.0MW) AT 
90M],MATCH(TBL_CalcDarwin[[#This Row],[Darwin Temp.
°C]],Curva_Temp[Temp]))</f>
        <v>5000</v>
      </c>
      <c r="AA190" s="41" cm="1">
        <f t="array" ref="AA190">INDEX(Curva_Temp[Temp],MATCH(TBL_CalcDarwin[[#This Row],[Darwin Temp.
°C]],Curva_Temp[Temp])+1)</f>
        <v>20</v>
      </c>
      <c r="AB190" s="41" cm="1">
        <f t="array" ref="AB190">INDEX(Curva_Temp[Warranted Power Curve for 
1.194Kg/m3 air density '[kW']
SG 5.0-145 (AM 0, 5.0MW) AT 
90M],MATCH(TBL_CalcDarwin[[#This Row],[Darwin Temp.
°C]],Curva_Temp[Temp])+1)</f>
        <v>5000</v>
      </c>
      <c r="AC190" s="45">
        <f>HLOOKUP(TBL_CalcDarwin[[#This Row],[Fecha]],'Plantilla AEG ES'!$E$1:$HX$13,2,FALSE)</f>
        <v>5</v>
      </c>
      <c r="AD190" s="45">
        <f>HLOOKUP(TBL_CalcDarwin[[#This Row],[Fecha]],'Plantilla AEG ES'!$E$1:$HX$13,3,FALSE)</f>
        <v>8</v>
      </c>
      <c r="AE190" s="45">
        <f>HLOOKUP(TBL_CalcDarwin[[#This Row],[Fecha]],'Plantilla AEG ES'!$E$1:$HX$13,4,FALSE)</f>
        <v>12</v>
      </c>
      <c r="AF190" s="45">
        <f>HLOOKUP(TBL_CalcDarwin[[#This Row],[Fecha]],'Plantilla AEG ES'!$E$1:$HX$13,5,FALSE)</f>
        <v>1</v>
      </c>
      <c r="AG190" s="45">
        <f>HLOOKUP(TBL_CalcDarwin[[#This Row],[Fecha]],'Plantilla AEG ES'!$E$1:$HX$13,6,FALSE)</f>
        <v>1</v>
      </c>
      <c r="AH190" s="45">
        <f>HLOOKUP(TBL_CalcDarwin[[#This Row],[Fecha]],'Plantilla AEG ES'!$E$1:$HX$13,7,FALSE)</f>
        <v>0</v>
      </c>
      <c r="AI190" s="46">
        <f>HLOOKUP(TBL_CalcDarwin[[#This Row],[Fecha]],'Plantilla AEG ES'!$E$1:$HX$13,8,FALSE)</f>
        <v>0</v>
      </c>
      <c r="AJ190" s="46">
        <f>HLOOKUP(TBL_CalcDarwin[[#This Row],[Fecha]],'Plantilla AEG ES'!$E$1:$HX$13,9,FALSE)</f>
        <v>3</v>
      </c>
      <c r="AK190" s="46">
        <f>HLOOKUP(TBL_CalcDarwin[[#This Row],[Fecha]],'Plantilla AEG ES'!$E$1:$HX$13,10,FALSE)</f>
        <v>12</v>
      </c>
      <c r="AL190" s="46">
        <f>HLOOKUP(TBL_CalcDarwin[[#This Row],[Fecha]],'Plantilla AEG ES'!$E$1:$HX$13,11,FALSE)</f>
        <v>1</v>
      </c>
      <c r="AM190" s="46">
        <f>HLOOKUP(TBL_CalcDarwin[[#This Row],[Fecha]],'Plantilla AEG ES'!$E$1:$HX$13,12,FALSE)</f>
        <v>7</v>
      </c>
      <c r="AN190" s="46">
        <f>HLOOKUP(TBL_CalcDarwin[[#This Row],[Fecha]],'Plantilla AEG ES'!$E$1:$HX$13,13,FALSE)</f>
        <v>1</v>
      </c>
      <c r="AO190" s="37">
        <f>TBL_CalcDarwin[[#This Row],[Lomitas - Barra A - 5.2 - Cerro]]+TBL_CalcDarwin[[#This Row],[Lomitas - Barra A - 5.2 - Medio]]+TBL_CalcDarwin[[#This Row],[Lomitas - Barra A - 5.2 - Mar]]</f>
        <v>25</v>
      </c>
      <c r="AP1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90" s="37">
        <f>TBL_CalcDarwin[[#This Row],[Expansión - Barra A - 5.2 - Cerro]]+TBL_CalcDarwin[[#This Row],[Expansión - Barra A - 5.2 - Medio]]+TBL_CalcDarwin[[#This Row],[Expansión - Barra A - 5.2 - Mar]]</f>
        <v>2</v>
      </c>
      <c r="AT190" s="37">
        <f>TBL_CalcDarwin[[#This Row],[Expansión - Barra B - 5.2 - Cerro]]</f>
        <v>1</v>
      </c>
      <c r="AU1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90" s="29">
        <f>TBL_CalcDarwin[[#This Row],[Expansión - Barra B - 5.2 - Cerro]]*TBL_CalcDarwin[[#This Row],[AEG 5.2 MW Cerro]]</f>
        <v>2.4089999999999998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5">
        <f t="shared" si="13"/>
        <v>45591.874999999549</v>
      </c>
      <c r="C191" s="17">
        <f>C190+TIME(1,0,0)</f>
        <v>7.8750000000000213</v>
      </c>
      <c r="D191" s="34">
        <f>TBL_CalcDarwin[[#This Row],[Darwin PLOM
MW]]+TBL_CalcDarwin[[#This Row],[Darwin PLOME
MW]]</f>
        <v>182.655</v>
      </c>
      <c r="E191" s="34">
        <f>TBL_CalcDarwin[[#This Row],[PLOM MW TOTAL BARRA A]]+TBL_CalcDarwin[[#This Row],[PLOM MW TOTAL BARRA B]]</f>
        <v>175.821</v>
      </c>
      <c r="F191" s="34">
        <f>TBL_CalcDarwin[[#This Row],[PLOME MW TOTAL BARRA A]]+TBL_CalcDarwin[[#This Row],[PLOME MW TOTAL BARRA B]]</f>
        <v>6.8339999999999996</v>
      </c>
      <c r="G191" s="48">
        <f>'Plantilla Datos'!D196</f>
        <v>7.9</v>
      </c>
      <c r="H191" s="48">
        <f>'Plantilla Datos'!E196</f>
        <v>9.9</v>
      </c>
      <c r="I191" s="49">
        <f>'Plantilla Datos'!F196</f>
        <v>16.100000000000001</v>
      </c>
      <c r="J191" s="47">
        <f>CEILING('Plantilla Datos'!$L$3*TBL_CalcDarwin[[#This Row],[Darwin Gusts
m/s]],0.5)</f>
        <v>7.5</v>
      </c>
      <c r="K191" s="47">
        <f>CEILING('Plantilla Datos'!$L$4*TBL_CalcDarwin[[#This Row],[Darwin Gusts
m/s]],0.5)</f>
        <v>8.5</v>
      </c>
      <c r="L191" s="47">
        <f>CEILING(TBL_CalcDarwin[[#This Row],[Darwin Gusts
m/s]],0.5)</f>
        <v>10</v>
      </c>
      <c r="M1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91" s="41">
        <f>INDEX(Curva_Temp[Temp],MATCH(TBL_CalcDarwin[[#This Row],[Darwin Temp.
°C]],Curva_Temp[Temp]))</f>
        <v>15</v>
      </c>
      <c r="R191" s="41">
        <f>INDEX(Curva_Temp[Warranted Power Curve for 
1.194Kg/m3 air density '[kW']
SG 5.0-145 (AM+1, 5.2MW) AT 
90M],MATCH(TBL_CalcDarwin[[#This Row],[Darwin Temp.
°C]],Curva_Temp[Temp]))</f>
        <v>5200</v>
      </c>
      <c r="S191" s="41" cm="1">
        <f t="array" ref="S191">INDEX(Curva_Temp[Temp],MATCH(TBL_CalcDarwin[[#This Row],[Darwin Temp.
°C]],Curva_Temp[Temp])+1)</f>
        <v>20</v>
      </c>
      <c r="T191" s="41" cm="1">
        <f t="array" ref="T191">INDEX(Curva_Temp[Warranted Power Curve for 
1.194Kg/m3 air density '[kW']
SG 5.0-145 (AM+1, 5.2MW) AT 
90M],MATCH(TBL_CalcDarwin[[#This Row],[Darwin Temp.
°C]],Curva_Temp[Temp])+1)</f>
        <v>5000</v>
      </c>
      <c r="U1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91" s="41">
        <f>INDEX(Curva_Temp[Temp],MATCH(TBL_CalcDarwin[[#This Row],[Darwin Temp.
°C]],Curva_Temp[Temp]))</f>
        <v>15</v>
      </c>
      <c r="Z191" s="41">
        <f>INDEX(Curva_Temp[Warranted Power Curve for 
1.194Kg/m3 air density '[kW']
SG 5.0-145 (AM 0, 5.0MW) AT 
90M],MATCH(TBL_CalcDarwin[[#This Row],[Darwin Temp.
°C]],Curva_Temp[Temp]))</f>
        <v>5000</v>
      </c>
      <c r="AA191" s="41" cm="1">
        <f t="array" ref="AA191">INDEX(Curva_Temp[Temp],MATCH(TBL_CalcDarwin[[#This Row],[Darwin Temp.
°C]],Curva_Temp[Temp])+1)</f>
        <v>20</v>
      </c>
      <c r="AB191" s="41" cm="1">
        <f t="array" ref="AB191">INDEX(Curva_Temp[Warranted Power Curve for 
1.194Kg/m3 air density '[kW']
SG 5.0-145 (AM 0, 5.0MW) AT 
90M],MATCH(TBL_CalcDarwin[[#This Row],[Darwin Temp.
°C]],Curva_Temp[Temp])+1)</f>
        <v>5000</v>
      </c>
      <c r="AC191" s="45">
        <f>HLOOKUP(TBL_CalcDarwin[[#This Row],[Fecha]],'Plantilla AEG ES'!$E$1:$HX$13,2,FALSE)</f>
        <v>5</v>
      </c>
      <c r="AD191" s="45">
        <f>HLOOKUP(TBL_CalcDarwin[[#This Row],[Fecha]],'Plantilla AEG ES'!$E$1:$HX$13,3,FALSE)</f>
        <v>8</v>
      </c>
      <c r="AE191" s="45">
        <f>HLOOKUP(TBL_CalcDarwin[[#This Row],[Fecha]],'Plantilla AEG ES'!$E$1:$HX$13,4,FALSE)</f>
        <v>12</v>
      </c>
      <c r="AF191" s="45">
        <f>HLOOKUP(TBL_CalcDarwin[[#This Row],[Fecha]],'Plantilla AEG ES'!$E$1:$HX$13,5,FALSE)</f>
        <v>1</v>
      </c>
      <c r="AG191" s="45">
        <f>HLOOKUP(TBL_CalcDarwin[[#This Row],[Fecha]],'Plantilla AEG ES'!$E$1:$HX$13,6,FALSE)</f>
        <v>1</v>
      </c>
      <c r="AH191" s="45">
        <f>HLOOKUP(TBL_CalcDarwin[[#This Row],[Fecha]],'Plantilla AEG ES'!$E$1:$HX$13,7,FALSE)</f>
        <v>0</v>
      </c>
      <c r="AI191" s="46">
        <f>HLOOKUP(TBL_CalcDarwin[[#This Row],[Fecha]],'Plantilla AEG ES'!$E$1:$HX$13,8,FALSE)</f>
        <v>0</v>
      </c>
      <c r="AJ191" s="46">
        <f>HLOOKUP(TBL_CalcDarwin[[#This Row],[Fecha]],'Plantilla AEG ES'!$E$1:$HX$13,9,FALSE)</f>
        <v>3</v>
      </c>
      <c r="AK191" s="46">
        <f>HLOOKUP(TBL_CalcDarwin[[#This Row],[Fecha]],'Plantilla AEG ES'!$E$1:$HX$13,10,FALSE)</f>
        <v>12</v>
      </c>
      <c r="AL191" s="46">
        <f>HLOOKUP(TBL_CalcDarwin[[#This Row],[Fecha]],'Plantilla AEG ES'!$E$1:$HX$13,11,FALSE)</f>
        <v>1</v>
      </c>
      <c r="AM191" s="46">
        <f>HLOOKUP(TBL_CalcDarwin[[#This Row],[Fecha]],'Plantilla AEG ES'!$E$1:$HX$13,12,FALSE)</f>
        <v>7</v>
      </c>
      <c r="AN191" s="46">
        <f>HLOOKUP(TBL_CalcDarwin[[#This Row],[Fecha]],'Plantilla AEG ES'!$E$1:$HX$13,13,FALSE)</f>
        <v>1</v>
      </c>
      <c r="AO191" s="37">
        <f>TBL_CalcDarwin[[#This Row],[Lomitas - Barra A - 5.2 - Cerro]]+TBL_CalcDarwin[[#This Row],[Lomitas - Barra A - 5.2 - Medio]]+TBL_CalcDarwin[[#This Row],[Lomitas - Barra A - 5.2 - Mar]]</f>
        <v>25</v>
      </c>
      <c r="AP1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91" s="37">
        <f>TBL_CalcDarwin[[#This Row],[Expansión - Barra A - 5.2 - Cerro]]+TBL_CalcDarwin[[#This Row],[Expansión - Barra A - 5.2 - Medio]]+TBL_CalcDarwin[[#This Row],[Expansión - Barra A - 5.2 - Mar]]</f>
        <v>2</v>
      </c>
      <c r="AT191" s="37">
        <f>TBL_CalcDarwin[[#This Row],[Expansión - Barra B - 5.2 - Cerro]]</f>
        <v>1</v>
      </c>
      <c r="AU1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91" s="29">
        <f>TBL_CalcDarwin[[#This Row],[Expansión - Barra B - 5.2 - Cerro]]*TBL_CalcDarwin[[#This Row],[AEG 5.2 MW Cerro]]</f>
        <v>1.978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5">
        <f t="shared" si="13"/>
        <v>45591.916666666213</v>
      </c>
      <c r="C192" s="17">
        <f t="shared" ref="C192:C196" si="18">C191+TIME(1,0,0)</f>
        <v>7.9166666666666883</v>
      </c>
      <c r="D192" s="34">
        <f>TBL_CalcDarwin[[#This Row],[Darwin PLOM
MW]]+TBL_CalcDarwin[[#This Row],[Darwin PLOME
MW]]</f>
        <v>143.17100000000002</v>
      </c>
      <c r="E192" s="34">
        <f>TBL_CalcDarwin[[#This Row],[PLOM MW TOTAL BARRA A]]+TBL_CalcDarwin[[#This Row],[PLOM MW TOTAL BARRA B]]</f>
        <v>138.23000000000002</v>
      </c>
      <c r="F192" s="34">
        <f>TBL_CalcDarwin[[#This Row],[PLOME MW TOTAL BARRA A]]+TBL_CalcDarwin[[#This Row],[PLOME MW TOTAL BARRA B]]</f>
        <v>4.9409999999999998</v>
      </c>
      <c r="G192" s="48">
        <f>'Plantilla Datos'!D197</f>
        <v>7.1</v>
      </c>
      <c r="H192" s="48">
        <f>'Plantilla Datos'!E197</f>
        <v>8.9</v>
      </c>
      <c r="I192" s="49">
        <f>'Plantilla Datos'!F197</f>
        <v>16.100000000000001</v>
      </c>
      <c r="J192" s="47">
        <f>CEILING('Plantilla Datos'!$L$3*TBL_CalcDarwin[[#This Row],[Darwin Gusts
m/s]],0.5)</f>
        <v>6.5</v>
      </c>
      <c r="K192" s="47">
        <f>CEILING('Plantilla Datos'!$L$4*TBL_CalcDarwin[[#This Row],[Darwin Gusts
m/s]],0.5)</f>
        <v>8</v>
      </c>
      <c r="L192" s="47">
        <f>CEILING(TBL_CalcDarwin[[#This Row],[Darwin Gusts
m/s]],0.5)</f>
        <v>9</v>
      </c>
      <c r="M1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92" s="41">
        <f>INDEX(Curva_Temp[Temp],MATCH(TBL_CalcDarwin[[#This Row],[Darwin Temp.
°C]],Curva_Temp[Temp]))</f>
        <v>15</v>
      </c>
      <c r="R192" s="41">
        <f>INDEX(Curva_Temp[Warranted Power Curve for 
1.194Kg/m3 air density '[kW']
SG 5.0-145 (AM+1, 5.2MW) AT 
90M],MATCH(TBL_CalcDarwin[[#This Row],[Darwin Temp.
°C]],Curva_Temp[Temp]))</f>
        <v>5200</v>
      </c>
      <c r="S192" s="41" cm="1">
        <f t="array" ref="S192">INDEX(Curva_Temp[Temp],MATCH(TBL_CalcDarwin[[#This Row],[Darwin Temp.
°C]],Curva_Temp[Temp])+1)</f>
        <v>20</v>
      </c>
      <c r="T192" s="41" cm="1">
        <f t="array" ref="T192">INDEX(Curva_Temp[Warranted Power Curve for 
1.194Kg/m3 air density '[kW']
SG 5.0-145 (AM+1, 5.2MW) AT 
90M],MATCH(TBL_CalcDarwin[[#This Row],[Darwin Temp.
°C]],Curva_Temp[Temp])+1)</f>
        <v>5000</v>
      </c>
      <c r="U1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92" s="41">
        <f>INDEX(Curva_Temp[Temp],MATCH(TBL_CalcDarwin[[#This Row],[Darwin Temp.
°C]],Curva_Temp[Temp]))</f>
        <v>15</v>
      </c>
      <c r="Z192" s="41">
        <f>INDEX(Curva_Temp[Warranted Power Curve for 
1.194Kg/m3 air density '[kW']
SG 5.0-145 (AM 0, 5.0MW) AT 
90M],MATCH(TBL_CalcDarwin[[#This Row],[Darwin Temp.
°C]],Curva_Temp[Temp]))</f>
        <v>5000</v>
      </c>
      <c r="AA192" s="41" cm="1">
        <f t="array" ref="AA192">INDEX(Curva_Temp[Temp],MATCH(TBL_CalcDarwin[[#This Row],[Darwin Temp.
°C]],Curva_Temp[Temp])+1)</f>
        <v>20</v>
      </c>
      <c r="AB192" s="41" cm="1">
        <f t="array" ref="AB192">INDEX(Curva_Temp[Warranted Power Curve for 
1.194Kg/m3 air density '[kW']
SG 5.0-145 (AM 0, 5.0MW) AT 
90M],MATCH(TBL_CalcDarwin[[#This Row],[Darwin Temp.
°C]],Curva_Temp[Temp])+1)</f>
        <v>5000</v>
      </c>
      <c r="AC192" s="45">
        <f>HLOOKUP(TBL_CalcDarwin[[#This Row],[Fecha]],'Plantilla AEG ES'!$E$1:$HX$13,2,FALSE)</f>
        <v>5</v>
      </c>
      <c r="AD192" s="45">
        <f>HLOOKUP(TBL_CalcDarwin[[#This Row],[Fecha]],'Plantilla AEG ES'!$E$1:$HX$13,3,FALSE)</f>
        <v>8</v>
      </c>
      <c r="AE192" s="45">
        <f>HLOOKUP(TBL_CalcDarwin[[#This Row],[Fecha]],'Plantilla AEG ES'!$E$1:$HX$13,4,FALSE)</f>
        <v>12</v>
      </c>
      <c r="AF192" s="45">
        <f>HLOOKUP(TBL_CalcDarwin[[#This Row],[Fecha]],'Plantilla AEG ES'!$E$1:$HX$13,5,FALSE)</f>
        <v>1</v>
      </c>
      <c r="AG192" s="45">
        <f>HLOOKUP(TBL_CalcDarwin[[#This Row],[Fecha]],'Plantilla AEG ES'!$E$1:$HX$13,6,FALSE)</f>
        <v>1</v>
      </c>
      <c r="AH192" s="45">
        <f>HLOOKUP(TBL_CalcDarwin[[#This Row],[Fecha]],'Plantilla AEG ES'!$E$1:$HX$13,7,FALSE)</f>
        <v>0</v>
      </c>
      <c r="AI192" s="46">
        <f>HLOOKUP(TBL_CalcDarwin[[#This Row],[Fecha]],'Plantilla AEG ES'!$E$1:$HX$13,8,FALSE)</f>
        <v>0</v>
      </c>
      <c r="AJ192" s="46">
        <f>HLOOKUP(TBL_CalcDarwin[[#This Row],[Fecha]],'Plantilla AEG ES'!$E$1:$HX$13,9,FALSE)</f>
        <v>3</v>
      </c>
      <c r="AK192" s="46">
        <f>HLOOKUP(TBL_CalcDarwin[[#This Row],[Fecha]],'Plantilla AEG ES'!$E$1:$HX$13,10,FALSE)</f>
        <v>12</v>
      </c>
      <c r="AL192" s="46">
        <f>HLOOKUP(TBL_CalcDarwin[[#This Row],[Fecha]],'Plantilla AEG ES'!$E$1:$HX$13,11,FALSE)</f>
        <v>1</v>
      </c>
      <c r="AM192" s="46">
        <f>HLOOKUP(TBL_CalcDarwin[[#This Row],[Fecha]],'Plantilla AEG ES'!$E$1:$HX$13,12,FALSE)</f>
        <v>7</v>
      </c>
      <c r="AN192" s="46">
        <f>HLOOKUP(TBL_CalcDarwin[[#This Row],[Fecha]],'Plantilla AEG ES'!$E$1:$HX$13,13,FALSE)</f>
        <v>1</v>
      </c>
      <c r="AO192" s="37">
        <f>TBL_CalcDarwin[[#This Row],[Lomitas - Barra A - 5.2 - Cerro]]+TBL_CalcDarwin[[#This Row],[Lomitas - Barra A - 5.2 - Medio]]+TBL_CalcDarwin[[#This Row],[Lomitas - Barra A - 5.2 - Mar]]</f>
        <v>25</v>
      </c>
      <c r="AP1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92" s="37">
        <f>TBL_CalcDarwin[[#This Row],[Expansión - Barra A - 5.2 - Cerro]]+TBL_CalcDarwin[[#This Row],[Expansión - Barra A - 5.2 - Medio]]+TBL_CalcDarwin[[#This Row],[Expansión - Barra A - 5.2 - Mar]]</f>
        <v>2</v>
      </c>
      <c r="AT192" s="37">
        <f>TBL_CalcDarwin[[#This Row],[Expansión - Barra B - 5.2 - Cerro]]</f>
        <v>1</v>
      </c>
      <c r="AU1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92" s="29">
        <f>TBL_CalcDarwin[[#This Row],[Expansión - Barra B - 5.2 - Cerro]]*TBL_CalcDarwin[[#This Row],[AEG 5.2 MW Cerro]]</f>
        <v>1.266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5">
        <f t="shared" si="13"/>
        <v>45591.958333332877</v>
      </c>
      <c r="C193" s="17">
        <f t="shared" si="18"/>
        <v>7.9583333333333552</v>
      </c>
      <c r="D193" s="34">
        <f>TBL_CalcDarwin[[#This Row],[Darwin PLOM
MW]]+TBL_CalcDarwin[[#This Row],[Darwin PLOME
MW]]</f>
        <v>101.629</v>
      </c>
      <c r="E193" s="34">
        <f>TBL_CalcDarwin[[#This Row],[PLOM MW TOTAL BARRA A]]+TBL_CalcDarwin[[#This Row],[PLOM MW TOTAL BARRA B]]</f>
        <v>98.066000000000003</v>
      </c>
      <c r="F193" s="34">
        <f>TBL_CalcDarwin[[#This Row],[PLOME MW TOTAL BARRA A]]+TBL_CalcDarwin[[#This Row],[PLOME MW TOTAL BARRA B]]</f>
        <v>3.5630000000000002</v>
      </c>
      <c r="G193" s="48">
        <f>'Plantilla Datos'!D198</f>
        <v>6.3</v>
      </c>
      <c r="H193" s="48">
        <f>'Plantilla Datos'!E198</f>
        <v>8</v>
      </c>
      <c r="I193" s="49">
        <f>'Plantilla Datos'!F198</f>
        <v>16.2</v>
      </c>
      <c r="J193" s="47">
        <f>CEILING('Plantilla Datos'!$L$3*TBL_CalcDarwin[[#This Row],[Darwin Gusts
m/s]],0.5)</f>
        <v>6</v>
      </c>
      <c r="K193" s="47">
        <f>CEILING('Plantilla Datos'!$L$4*TBL_CalcDarwin[[#This Row],[Darwin Gusts
m/s]],0.5)</f>
        <v>7</v>
      </c>
      <c r="L193" s="47">
        <f>CEILING(TBL_CalcDarwin[[#This Row],[Darwin Gusts
m/s]],0.5)</f>
        <v>8</v>
      </c>
      <c r="M1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93" s="41">
        <f>INDEX(Curva_Temp[Temp],MATCH(TBL_CalcDarwin[[#This Row],[Darwin Temp.
°C]],Curva_Temp[Temp]))</f>
        <v>15</v>
      </c>
      <c r="R193" s="41">
        <f>INDEX(Curva_Temp[Warranted Power Curve for 
1.194Kg/m3 air density '[kW']
SG 5.0-145 (AM+1, 5.2MW) AT 
90M],MATCH(TBL_CalcDarwin[[#This Row],[Darwin Temp.
°C]],Curva_Temp[Temp]))</f>
        <v>5200</v>
      </c>
      <c r="S193" s="41" cm="1">
        <f t="array" ref="S193">INDEX(Curva_Temp[Temp],MATCH(TBL_CalcDarwin[[#This Row],[Darwin Temp.
°C]],Curva_Temp[Temp])+1)</f>
        <v>20</v>
      </c>
      <c r="T193" s="41" cm="1">
        <f t="array" ref="T193">INDEX(Curva_Temp[Warranted Power Curve for 
1.194Kg/m3 air density '[kW']
SG 5.0-145 (AM+1, 5.2MW) AT 
90M],MATCH(TBL_CalcDarwin[[#This Row],[Darwin Temp.
°C]],Curva_Temp[Temp])+1)</f>
        <v>5000</v>
      </c>
      <c r="U1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93" s="41">
        <f>INDEX(Curva_Temp[Temp],MATCH(TBL_CalcDarwin[[#This Row],[Darwin Temp.
°C]],Curva_Temp[Temp]))</f>
        <v>15</v>
      </c>
      <c r="Z193" s="41">
        <f>INDEX(Curva_Temp[Warranted Power Curve for 
1.194Kg/m3 air density '[kW']
SG 5.0-145 (AM 0, 5.0MW) AT 
90M],MATCH(TBL_CalcDarwin[[#This Row],[Darwin Temp.
°C]],Curva_Temp[Temp]))</f>
        <v>5000</v>
      </c>
      <c r="AA193" s="41" cm="1">
        <f t="array" ref="AA193">INDEX(Curva_Temp[Temp],MATCH(TBL_CalcDarwin[[#This Row],[Darwin Temp.
°C]],Curva_Temp[Temp])+1)</f>
        <v>20</v>
      </c>
      <c r="AB193" s="41" cm="1">
        <f t="array" ref="AB193">INDEX(Curva_Temp[Warranted Power Curve for 
1.194Kg/m3 air density '[kW']
SG 5.0-145 (AM 0, 5.0MW) AT 
90M],MATCH(TBL_CalcDarwin[[#This Row],[Darwin Temp.
°C]],Curva_Temp[Temp])+1)</f>
        <v>5000</v>
      </c>
      <c r="AC193" s="45">
        <f>HLOOKUP(TBL_CalcDarwin[[#This Row],[Fecha]],'Plantilla AEG ES'!$E$1:$HX$13,2,FALSE)</f>
        <v>5</v>
      </c>
      <c r="AD193" s="45">
        <f>HLOOKUP(TBL_CalcDarwin[[#This Row],[Fecha]],'Plantilla AEG ES'!$E$1:$HX$13,3,FALSE)</f>
        <v>8</v>
      </c>
      <c r="AE193" s="45">
        <f>HLOOKUP(TBL_CalcDarwin[[#This Row],[Fecha]],'Plantilla AEG ES'!$E$1:$HX$13,4,FALSE)</f>
        <v>12</v>
      </c>
      <c r="AF193" s="45">
        <f>HLOOKUP(TBL_CalcDarwin[[#This Row],[Fecha]],'Plantilla AEG ES'!$E$1:$HX$13,5,FALSE)</f>
        <v>1</v>
      </c>
      <c r="AG193" s="45">
        <f>HLOOKUP(TBL_CalcDarwin[[#This Row],[Fecha]],'Plantilla AEG ES'!$E$1:$HX$13,6,FALSE)</f>
        <v>1</v>
      </c>
      <c r="AH193" s="45">
        <f>HLOOKUP(TBL_CalcDarwin[[#This Row],[Fecha]],'Plantilla AEG ES'!$E$1:$HX$13,7,FALSE)</f>
        <v>0</v>
      </c>
      <c r="AI193" s="46">
        <f>HLOOKUP(TBL_CalcDarwin[[#This Row],[Fecha]],'Plantilla AEG ES'!$E$1:$HX$13,8,FALSE)</f>
        <v>0</v>
      </c>
      <c r="AJ193" s="46">
        <f>HLOOKUP(TBL_CalcDarwin[[#This Row],[Fecha]],'Plantilla AEG ES'!$E$1:$HX$13,9,FALSE)</f>
        <v>3</v>
      </c>
      <c r="AK193" s="46">
        <f>HLOOKUP(TBL_CalcDarwin[[#This Row],[Fecha]],'Plantilla AEG ES'!$E$1:$HX$13,10,FALSE)</f>
        <v>12</v>
      </c>
      <c r="AL193" s="46">
        <f>HLOOKUP(TBL_CalcDarwin[[#This Row],[Fecha]],'Plantilla AEG ES'!$E$1:$HX$13,11,FALSE)</f>
        <v>1</v>
      </c>
      <c r="AM193" s="46">
        <f>HLOOKUP(TBL_CalcDarwin[[#This Row],[Fecha]],'Plantilla AEG ES'!$E$1:$HX$13,12,FALSE)</f>
        <v>7</v>
      </c>
      <c r="AN193" s="46">
        <f>HLOOKUP(TBL_CalcDarwin[[#This Row],[Fecha]],'Plantilla AEG ES'!$E$1:$HX$13,13,FALSE)</f>
        <v>1</v>
      </c>
      <c r="AO193" s="37">
        <f>TBL_CalcDarwin[[#This Row],[Lomitas - Barra A - 5.2 - Cerro]]+TBL_CalcDarwin[[#This Row],[Lomitas - Barra A - 5.2 - Medio]]+TBL_CalcDarwin[[#This Row],[Lomitas - Barra A - 5.2 - Mar]]</f>
        <v>25</v>
      </c>
      <c r="AP1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93" s="37">
        <f>TBL_CalcDarwin[[#This Row],[Expansión - Barra A - 5.2 - Cerro]]+TBL_CalcDarwin[[#This Row],[Expansión - Barra A - 5.2 - Medio]]+TBL_CalcDarwin[[#This Row],[Expansión - Barra A - 5.2 - Mar]]</f>
        <v>2</v>
      </c>
      <c r="AT193" s="37">
        <f>TBL_CalcDarwin[[#This Row],[Expansión - Barra B - 5.2 - Cerro]]</f>
        <v>1</v>
      </c>
      <c r="AU1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93" s="29">
        <f>TBL_CalcDarwin[[#This Row],[Expansión - Barra B - 5.2 - Cerro]]*TBL_CalcDarwin[[#This Row],[AEG 5.2 MW Cerro]]</f>
        <v>0.98299999999999998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5">
        <f t="shared" si="13"/>
        <v>45591.999999999542</v>
      </c>
      <c r="C194" s="17">
        <f t="shared" si="18"/>
        <v>8.0000000000000213</v>
      </c>
      <c r="D194" s="34">
        <f>TBL_CalcDarwin[[#This Row],[Darwin PLOM
MW]]+TBL_CalcDarwin[[#This Row],[Darwin PLOME
MW]]</f>
        <v>64.665000000000006</v>
      </c>
      <c r="E194" s="34">
        <f>TBL_CalcDarwin[[#This Row],[PLOM MW TOTAL BARRA A]]+TBL_CalcDarwin[[#This Row],[PLOM MW TOTAL BARRA B]]</f>
        <v>62.192</v>
      </c>
      <c r="F194" s="34">
        <f>TBL_CalcDarwin[[#This Row],[PLOME MW TOTAL BARRA A]]+TBL_CalcDarwin[[#This Row],[PLOME MW TOTAL BARRA B]]</f>
        <v>2.4729999999999999</v>
      </c>
      <c r="G194" s="48">
        <f>'Plantilla Datos'!D199</f>
        <v>5.5</v>
      </c>
      <c r="H194" s="48">
        <f>'Plantilla Datos'!E199</f>
        <v>7</v>
      </c>
      <c r="I194" s="49">
        <f>'Plantilla Datos'!F199</f>
        <v>16.2</v>
      </c>
      <c r="J194" s="47">
        <f>CEILING('Plantilla Datos'!$L$3*TBL_CalcDarwin[[#This Row],[Darwin Gusts
m/s]],0.5)</f>
        <v>5.5</v>
      </c>
      <c r="K194" s="47">
        <f>CEILING('Plantilla Datos'!$L$4*TBL_CalcDarwin[[#This Row],[Darwin Gusts
m/s]],0.5)</f>
        <v>6</v>
      </c>
      <c r="L194" s="47">
        <f>CEILING(TBL_CalcDarwin[[#This Row],[Darwin Gusts
m/s]],0.5)</f>
        <v>7</v>
      </c>
      <c r="M1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94" s="41">
        <f>INDEX(Curva_Temp[Temp],MATCH(TBL_CalcDarwin[[#This Row],[Darwin Temp.
°C]],Curva_Temp[Temp]))</f>
        <v>15</v>
      </c>
      <c r="R194" s="41">
        <f>INDEX(Curva_Temp[Warranted Power Curve for 
1.194Kg/m3 air density '[kW']
SG 5.0-145 (AM+1, 5.2MW) AT 
90M],MATCH(TBL_CalcDarwin[[#This Row],[Darwin Temp.
°C]],Curva_Temp[Temp]))</f>
        <v>5200</v>
      </c>
      <c r="S194" s="41" cm="1">
        <f t="array" ref="S194">INDEX(Curva_Temp[Temp],MATCH(TBL_CalcDarwin[[#This Row],[Darwin Temp.
°C]],Curva_Temp[Temp])+1)</f>
        <v>20</v>
      </c>
      <c r="T194" s="41" cm="1">
        <f t="array" ref="T194">INDEX(Curva_Temp[Warranted Power Curve for 
1.194Kg/m3 air density '[kW']
SG 5.0-145 (AM+1, 5.2MW) AT 
90M],MATCH(TBL_CalcDarwin[[#This Row],[Darwin Temp.
°C]],Curva_Temp[Temp])+1)</f>
        <v>5000</v>
      </c>
      <c r="U1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94" s="41">
        <f>INDEX(Curva_Temp[Temp],MATCH(TBL_CalcDarwin[[#This Row],[Darwin Temp.
°C]],Curva_Temp[Temp]))</f>
        <v>15</v>
      </c>
      <c r="Z194" s="41">
        <f>INDEX(Curva_Temp[Warranted Power Curve for 
1.194Kg/m3 air density '[kW']
SG 5.0-145 (AM 0, 5.0MW) AT 
90M],MATCH(TBL_CalcDarwin[[#This Row],[Darwin Temp.
°C]],Curva_Temp[Temp]))</f>
        <v>5000</v>
      </c>
      <c r="AA194" s="41" cm="1">
        <f t="array" ref="AA194">INDEX(Curva_Temp[Temp],MATCH(TBL_CalcDarwin[[#This Row],[Darwin Temp.
°C]],Curva_Temp[Temp])+1)</f>
        <v>20</v>
      </c>
      <c r="AB194" s="41" cm="1">
        <f t="array" ref="AB194">INDEX(Curva_Temp[Warranted Power Curve for 
1.194Kg/m3 air density '[kW']
SG 5.0-145 (AM 0, 5.0MW) AT 
90M],MATCH(TBL_CalcDarwin[[#This Row],[Darwin Temp.
°C]],Curva_Temp[Temp])+1)</f>
        <v>5000</v>
      </c>
      <c r="AC194" s="45">
        <f>HLOOKUP(TBL_CalcDarwin[[#This Row],[Fecha]],'Plantilla AEG ES'!$E$1:$HX$13,2,FALSE)</f>
        <v>5</v>
      </c>
      <c r="AD194" s="45">
        <f>HLOOKUP(TBL_CalcDarwin[[#This Row],[Fecha]],'Plantilla AEG ES'!$E$1:$HX$13,3,FALSE)</f>
        <v>7</v>
      </c>
      <c r="AE194" s="45">
        <f>HLOOKUP(TBL_CalcDarwin[[#This Row],[Fecha]],'Plantilla AEG ES'!$E$1:$HX$13,4,FALSE)</f>
        <v>11</v>
      </c>
      <c r="AF194" s="45">
        <f>HLOOKUP(TBL_CalcDarwin[[#This Row],[Fecha]],'Plantilla AEG ES'!$E$1:$HX$13,5,FALSE)</f>
        <v>1</v>
      </c>
      <c r="AG194" s="45">
        <f>HLOOKUP(TBL_CalcDarwin[[#This Row],[Fecha]],'Plantilla AEG ES'!$E$1:$HX$13,6,FALSE)</f>
        <v>1</v>
      </c>
      <c r="AH194" s="45">
        <f>HLOOKUP(TBL_CalcDarwin[[#This Row],[Fecha]],'Plantilla AEG ES'!$E$1:$HX$13,7,FALSE)</f>
        <v>0</v>
      </c>
      <c r="AI194" s="46">
        <f>HLOOKUP(TBL_CalcDarwin[[#This Row],[Fecha]],'Plantilla AEG ES'!$E$1:$HX$13,8,FALSE)</f>
        <v>0</v>
      </c>
      <c r="AJ194" s="46">
        <f>HLOOKUP(TBL_CalcDarwin[[#This Row],[Fecha]],'Plantilla AEG ES'!$E$1:$HX$13,9,FALSE)</f>
        <v>3</v>
      </c>
      <c r="AK194" s="46">
        <f>HLOOKUP(TBL_CalcDarwin[[#This Row],[Fecha]],'Plantilla AEG ES'!$E$1:$HX$13,10,FALSE)</f>
        <v>12</v>
      </c>
      <c r="AL194" s="46">
        <f>HLOOKUP(TBL_CalcDarwin[[#This Row],[Fecha]],'Plantilla AEG ES'!$E$1:$HX$13,11,FALSE)</f>
        <v>1</v>
      </c>
      <c r="AM194" s="46">
        <f>HLOOKUP(TBL_CalcDarwin[[#This Row],[Fecha]],'Plantilla AEG ES'!$E$1:$HX$13,12,FALSE)</f>
        <v>7</v>
      </c>
      <c r="AN194" s="46">
        <f>HLOOKUP(TBL_CalcDarwin[[#This Row],[Fecha]],'Plantilla AEG ES'!$E$1:$HX$13,13,FALSE)</f>
        <v>1</v>
      </c>
      <c r="AO194" s="37">
        <f>TBL_CalcDarwin[[#This Row],[Lomitas - Barra A - 5.2 - Cerro]]+TBL_CalcDarwin[[#This Row],[Lomitas - Barra A - 5.2 - Medio]]+TBL_CalcDarwin[[#This Row],[Lomitas - Barra A - 5.2 - Mar]]</f>
        <v>23</v>
      </c>
      <c r="AP1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28.173000000000002</v>
      </c>
      <c r="AR1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194" s="37">
        <f>TBL_CalcDarwin[[#This Row],[Expansión - Barra A - 5.2 - Cerro]]+TBL_CalcDarwin[[#This Row],[Expansión - Barra A - 5.2 - Medio]]+TBL_CalcDarwin[[#This Row],[Expansión - Barra A - 5.2 - Mar]]</f>
        <v>2</v>
      </c>
      <c r="AT194" s="37">
        <f>TBL_CalcDarwin[[#This Row],[Expansión - Barra B - 5.2 - Cerro]]</f>
        <v>1</v>
      </c>
      <c r="AU1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194" s="29">
        <f>TBL_CalcDarwin[[#This Row],[Expansión - Barra B - 5.2 - Cerro]]*TBL_CalcDarwin[[#This Row],[AEG 5.2 MW Cerro]]</f>
        <v>0.745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5">
        <f t="shared" si="13"/>
        <v>45592.041666666206</v>
      </c>
      <c r="C195" s="17">
        <f t="shared" si="18"/>
        <v>8.0416666666666874</v>
      </c>
      <c r="D195" s="34">
        <f>TBL_CalcDarwin[[#This Row],[Darwin PLOM
MW]]+TBL_CalcDarwin[[#This Row],[Darwin PLOME
MW]]</f>
        <v>49.213000000000001</v>
      </c>
      <c r="E195" s="34">
        <f>TBL_CalcDarwin[[#This Row],[PLOM MW TOTAL BARRA A]]+TBL_CalcDarwin[[#This Row],[PLOM MW TOTAL BARRA B]]</f>
        <v>47.704000000000001</v>
      </c>
      <c r="F195" s="34">
        <f>TBL_CalcDarwin[[#This Row],[PLOME MW TOTAL BARRA A]]+TBL_CalcDarwin[[#This Row],[PLOME MW TOTAL BARRA B]]</f>
        <v>1.5089999999999999</v>
      </c>
      <c r="G195" s="48">
        <f>'Plantilla Datos'!D200</f>
        <v>4.7</v>
      </c>
      <c r="H195" s="48">
        <f>'Plantilla Datos'!E200</f>
        <v>6.1</v>
      </c>
      <c r="I195" s="49">
        <f>'Plantilla Datos'!F200</f>
        <v>16.2</v>
      </c>
      <c r="J195" s="47">
        <f>CEILING('Plantilla Datos'!$L$3*TBL_CalcDarwin[[#This Row],[Darwin Gusts
m/s]],0.5)</f>
        <v>4.5</v>
      </c>
      <c r="K195" s="47">
        <f>CEILING('Plantilla Datos'!$L$4*TBL_CalcDarwin[[#This Row],[Darwin Gusts
m/s]],0.5)</f>
        <v>5.5</v>
      </c>
      <c r="L195" s="47">
        <f>CEILING(TBL_CalcDarwin[[#This Row],[Darwin Gusts
m/s]],0.5)</f>
        <v>6.5</v>
      </c>
      <c r="M1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95" s="41">
        <f>INDEX(Curva_Temp[Temp],MATCH(TBL_CalcDarwin[[#This Row],[Darwin Temp.
°C]],Curva_Temp[Temp]))</f>
        <v>15</v>
      </c>
      <c r="R195" s="41">
        <f>INDEX(Curva_Temp[Warranted Power Curve for 
1.194Kg/m3 air density '[kW']
SG 5.0-145 (AM+1, 5.2MW) AT 
90M],MATCH(TBL_CalcDarwin[[#This Row],[Darwin Temp.
°C]],Curva_Temp[Temp]))</f>
        <v>5200</v>
      </c>
      <c r="S195" s="41" cm="1">
        <f t="array" ref="S195">INDEX(Curva_Temp[Temp],MATCH(TBL_CalcDarwin[[#This Row],[Darwin Temp.
°C]],Curva_Temp[Temp])+1)</f>
        <v>20</v>
      </c>
      <c r="T195" s="41" cm="1">
        <f t="array" ref="T195">INDEX(Curva_Temp[Warranted Power Curve for 
1.194Kg/m3 air density '[kW']
SG 5.0-145 (AM+1, 5.2MW) AT 
90M],MATCH(TBL_CalcDarwin[[#This Row],[Darwin Temp.
°C]],Curva_Temp[Temp])+1)</f>
        <v>5000</v>
      </c>
      <c r="U1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95" s="41">
        <f>INDEX(Curva_Temp[Temp],MATCH(TBL_CalcDarwin[[#This Row],[Darwin Temp.
°C]],Curva_Temp[Temp]))</f>
        <v>15</v>
      </c>
      <c r="Z195" s="41">
        <f>INDEX(Curva_Temp[Warranted Power Curve for 
1.194Kg/m3 air density '[kW']
SG 5.0-145 (AM 0, 5.0MW) AT 
90M],MATCH(TBL_CalcDarwin[[#This Row],[Darwin Temp.
°C]],Curva_Temp[Temp]))</f>
        <v>5000</v>
      </c>
      <c r="AA195" s="41" cm="1">
        <f t="array" ref="AA195">INDEX(Curva_Temp[Temp],MATCH(TBL_CalcDarwin[[#This Row],[Darwin Temp.
°C]],Curva_Temp[Temp])+1)</f>
        <v>20</v>
      </c>
      <c r="AB195" s="41" cm="1">
        <f t="array" ref="AB195">INDEX(Curva_Temp[Warranted Power Curve for 
1.194Kg/m3 air density '[kW']
SG 5.0-145 (AM 0, 5.0MW) AT 
90M],MATCH(TBL_CalcDarwin[[#This Row],[Darwin Temp.
°C]],Curva_Temp[Temp])+1)</f>
        <v>5000</v>
      </c>
      <c r="AC195" s="45">
        <f>HLOOKUP(TBL_CalcDarwin[[#This Row],[Fecha]],'Plantilla AEG ES'!$E$1:$HX$13,2,FALSE)</f>
        <v>5</v>
      </c>
      <c r="AD195" s="45">
        <f>HLOOKUP(TBL_CalcDarwin[[#This Row],[Fecha]],'Plantilla AEG ES'!$E$1:$HX$13,3,FALSE)</f>
        <v>7</v>
      </c>
      <c r="AE195" s="45">
        <f>HLOOKUP(TBL_CalcDarwin[[#This Row],[Fecha]],'Plantilla AEG ES'!$E$1:$HX$13,4,FALSE)</f>
        <v>11</v>
      </c>
      <c r="AF195" s="45">
        <f>HLOOKUP(TBL_CalcDarwin[[#This Row],[Fecha]],'Plantilla AEG ES'!$E$1:$HX$13,5,FALSE)</f>
        <v>1</v>
      </c>
      <c r="AG195" s="45">
        <f>HLOOKUP(TBL_CalcDarwin[[#This Row],[Fecha]],'Plantilla AEG ES'!$E$1:$HX$13,6,FALSE)</f>
        <v>1</v>
      </c>
      <c r="AH195" s="45">
        <f>HLOOKUP(TBL_CalcDarwin[[#This Row],[Fecha]],'Plantilla AEG ES'!$E$1:$HX$13,7,FALSE)</f>
        <v>0</v>
      </c>
      <c r="AI195" s="46">
        <f>HLOOKUP(TBL_CalcDarwin[[#This Row],[Fecha]],'Plantilla AEG ES'!$E$1:$HX$13,8,FALSE)</f>
        <v>0</v>
      </c>
      <c r="AJ195" s="46">
        <f>HLOOKUP(TBL_CalcDarwin[[#This Row],[Fecha]],'Plantilla AEG ES'!$E$1:$HX$13,9,FALSE)</f>
        <v>3</v>
      </c>
      <c r="AK195" s="46">
        <f>HLOOKUP(TBL_CalcDarwin[[#This Row],[Fecha]],'Plantilla AEG ES'!$E$1:$HX$13,10,FALSE)</f>
        <v>12</v>
      </c>
      <c r="AL195" s="46">
        <f>HLOOKUP(TBL_CalcDarwin[[#This Row],[Fecha]],'Plantilla AEG ES'!$E$1:$HX$13,11,FALSE)</f>
        <v>1</v>
      </c>
      <c r="AM195" s="46">
        <f>HLOOKUP(TBL_CalcDarwin[[#This Row],[Fecha]],'Plantilla AEG ES'!$E$1:$HX$13,12,FALSE)</f>
        <v>7</v>
      </c>
      <c r="AN195" s="46">
        <f>HLOOKUP(TBL_CalcDarwin[[#This Row],[Fecha]],'Plantilla AEG ES'!$E$1:$HX$13,13,FALSE)</f>
        <v>1</v>
      </c>
      <c r="AO195" s="37">
        <f>TBL_CalcDarwin[[#This Row],[Lomitas - Barra A - 5.2 - Cerro]]+TBL_CalcDarwin[[#This Row],[Lomitas - Barra A - 5.2 - Medio]]+TBL_CalcDarwin[[#This Row],[Lomitas - Barra A - 5.2 - Mar]]</f>
        <v>23</v>
      </c>
      <c r="AP1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95" s="37">
        <f>TBL_CalcDarwin[[#This Row],[Expansión - Barra A - 5.2 - Cerro]]+TBL_CalcDarwin[[#This Row],[Expansión - Barra A - 5.2 - Medio]]+TBL_CalcDarwin[[#This Row],[Expansión - Barra A - 5.2 - Mar]]</f>
        <v>2</v>
      </c>
      <c r="AT195" s="37">
        <f>TBL_CalcDarwin[[#This Row],[Expansión - Barra B - 5.2 - Cerro]]</f>
        <v>1</v>
      </c>
      <c r="AU1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95" s="29">
        <f>TBL_CalcDarwin[[#This Row],[Expansión - Barra B - 5.2 - Cerro]]*TBL_CalcDarwin[[#This Row],[AEG 5.2 MW Cerro]]</f>
        <v>0.38200000000000001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5">
        <f t="shared" si="13"/>
        <v>45592.08333333287</v>
      </c>
      <c r="C196" s="17">
        <f t="shared" si="18"/>
        <v>8.0833333333333535</v>
      </c>
      <c r="D196" s="34">
        <f>TBL_CalcDarwin[[#This Row],[Darwin PLOM
MW]]+TBL_CalcDarwin[[#This Row],[Darwin PLOME
MW]]</f>
        <v>38.544999999999995</v>
      </c>
      <c r="E196" s="34">
        <f>TBL_CalcDarwin[[#This Row],[PLOM MW TOTAL BARRA A]]+TBL_CalcDarwin[[#This Row],[PLOM MW TOTAL BARRA B]]</f>
        <v>37.233999999999995</v>
      </c>
      <c r="F196" s="34">
        <f>TBL_CalcDarwin[[#This Row],[PLOME MW TOTAL BARRA A]]+TBL_CalcDarwin[[#This Row],[PLOME MW TOTAL BARRA B]]</f>
        <v>1.3109999999999999</v>
      </c>
      <c r="G196" s="48">
        <f>'Plantilla Datos'!D201</f>
        <v>4.5</v>
      </c>
      <c r="H196" s="48">
        <f>'Plantilla Datos'!E201</f>
        <v>5.8</v>
      </c>
      <c r="I196" s="49">
        <f>'Plantilla Datos'!F201</f>
        <v>16.2</v>
      </c>
      <c r="J196" s="47">
        <f>CEILING('Plantilla Datos'!$L$3*TBL_CalcDarwin[[#This Row],[Darwin Gusts
m/s]],0.5)</f>
        <v>4.5</v>
      </c>
      <c r="K196" s="47">
        <f>CEILING('Plantilla Datos'!$L$4*TBL_CalcDarwin[[#This Row],[Darwin Gusts
m/s]],0.5)</f>
        <v>5</v>
      </c>
      <c r="L196" s="47">
        <f>CEILING(TBL_CalcDarwin[[#This Row],[Darwin Gusts
m/s]],0.5)</f>
        <v>6</v>
      </c>
      <c r="M1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96" s="41">
        <f>INDEX(Curva_Temp[Temp],MATCH(TBL_CalcDarwin[[#This Row],[Darwin Temp.
°C]],Curva_Temp[Temp]))</f>
        <v>15</v>
      </c>
      <c r="R196" s="41">
        <f>INDEX(Curva_Temp[Warranted Power Curve for 
1.194Kg/m3 air density '[kW']
SG 5.0-145 (AM+1, 5.2MW) AT 
90M],MATCH(TBL_CalcDarwin[[#This Row],[Darwin Temp.
°C]],Curva_Temp[Temp]))</f>
        <v>5200</v>
      </c>
      <c r="S196" s="41" cm="1">
        <f t="array" ref="S196">INDEX(Curva_Temp[Temp],MATCH(TBL_CalcDarwin[[#This Row],[Darwin Temp.
°C]],Curva_Temp[Temp])+1)</f>
        <v>20</v>
      </c>
      <c r="T196" s="41" cm="1">
        <f t="array" ref="T196">INDEX(Curva_Temp[Warranted Power Curve for 
1.194Kg/m3 air density '[kW']
SG 5.0-145 (AM+1, 5.2MW) AT 
90M],MATCH(TBL_CalcDarwin[[#This Row],[Darwin Temp.
°C]],Curva_Temp[Temp])+1)</f>
        <v>5000</v>
      </c>
      <c r="U1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96" s="41">
        <f>INDEX(Curva_Temp[Temp],MATCH(TBL_CalcDarwin[[#This Row],[Darwin Temp.
°C]],Curva_Temp[Temp]))</f>
        <v>15</v>
      </c>
      <c r="Z196" s="41">
        <f>INDEX(Curva_Temp[Warranted Power Curve for 
1.194Kg/m3 air density '[kW']
SG 5.0-145 (AM 0, 5.0MW) AT 
90M],MATCH(TBL_CalcDarwin[[#This Row],[Darwin Temp.
°C]],Curva_Temp[Temp]))</f>
        <v>5000</v>
      </c>
      <c r="AA196" s="41" cm="1">
        <f t="array" ref="AA196">INDEX(Curva_Temp[Temp],MATCH(TBL_CalcDarwin[[#This Row],[Darwin Temp.
°C]],Curva_Temp[Temp])+1)</f>
        <v>20</v>
      </c>
      <c r="AB196" s="41" cm="1">
        <f t="array" ref="AB196">INDEX(Curva_Temp[Warranted Power Curve for 
1.194Kg/m3 air density '[kW']
SG 5.0-145 (AM 0, 5.0MW) AT 
90M],MATCH(TBL_CalcDarwin[[#This Row],[Darwin Temp.
°C]],Curva_Temp[Temp])+1)</f>
        <v>5000</v>
      </c>
      <c r="AC196" s="45">
        <f>HLOOKUP(TBL_CalcDarwin[[#This Row],[Fecha]],'Plantilla AEG ES'!$E$1:$HX$13,2,FALSE)</f>
        <v>5</v>
      </c>
      <c r="AD196" s="45">
        <f>HLOOKUP(TBL_CalcDarwin[[#This Row],[Fecha]],'Plantilla AEG ES'!$E$1:$HX$13,3,FALSE)</f>
        <v>7</v>
      </c>
      <c r="AE196" s="45">
        <f>HLOOKUP(TBL_CalcDarwin[[#This Row],[Fecha]],'Plantilla AEG ES'!$E$1:$HX$13,4,FALSE)</f>
        <v>11</v>
      </c>
      <c r="AF196" s="45">
        <f>HLOOKUP(TBL_CalcDarwin[[#This Row],[Fecha]],'Plantilla AEG ES'!$E$1:$HX$13,5,FALSE)</f>
        <v>1</v>
      </c>
      <c r="AG196" s="45">
        <f>HLOOKUP(TBL_CalcDarwin[[#This Row],[Fecha]],'Plantilla AEG ES'!$E$1:$HX$13,6,FALSE)</f>
        <v>1</v>
      </c>
      <c r="AH196" s="45">
        <f>HLOOKUP(TBL_CalcDarwin[[#This Row],[Fecha]],'Plantilla AEG ES'!$E$1:$HX$13,7,FALSE)</f>
        <v>0</v>
      </c>
      <c r="AI196" s="46">
        <f>HLOOKUP(TBL_CalcDarwin[[#This Row],[Fecha]],'Plantilla AEG ES'!$E$1:$HX$13,8,FALSE)</f>
        <v>0</v>
      </c>
      <c r="AJ196" s="46">
        <f>HLOOKUP(TBL_CalcDarwin[[#This Row],[Fecha]],'Plantilla AEG ES'!$E$1:$HX$13,9,FALSE)</f>
        <v>3</v>
      </c>
      <c r="AK196" s="46">
        <f>HLOOKUP(TBL_CalcDarwin[[#This Row],[Fecha]],'Plantilla AEG ES'!$E$1:$HX$13,10,FALSE)</f>
        <v>12</v>
      </c>
      <c r="AL196" s="46">
        <f>HLOOKUP(TBL_CalcDarwin[[#This Row],[Fecha]],'Plantilla AEG ES'!$E$1:$HX$13,11,FALSE)</f>
        <v>1</v>
      </c>
      <c r="AM196" s="46">
        <f>HLOOKUP(TBL_CalcDarwin[[#This Row],[Fecha]],'Plantilla AEG ES'!$E$1:$HX$13,12,FALSE)</f>
        <v>7</v>
      </c>
      <c r="AN196" s="46">
        <f>HLOOKUP(TBL_CalcDarwin[[#This Row],[Fecha]],'Plantilla AEG ES'!$E$1:$HX$13,13,FALSE)</f>
        <v>1</v>
      </c>
      <c r="AO196" s="37">
        <f>TBL_CalcDarwin[[#This Row],[Lomitas - Barra A - 5.2 - Cerro]]+TBL_CalcDarwin[[#This Row],[Lomitas - Barra A - 5.2 - Medio]]+TBL_CalcDarwin[[#This Row],[Lomitas - Barra A - 5.2 - Mar]]</f>
        <v>23</v>
      </c>
      <c r="AP1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96" s="37">
        <f>TBL_CalcDarwin[[#This Row],[Expansión - Barra A - 5.2 - Cerro]]+TBL_CalcDarwin[[#This Row],[Expansión - Barra A - 5.2 - Medio]]+TBL_CalcDarwin[[#This Row],[Expansión - Barra A - 5.2 - Mar]]</f>
        <v>2</v>
      </c>
      <c r="AT196" s="37">
        <f>TBL_CalcDarwin[[#This Row],[Expansión - Barra B - 5.2 - Cerro]]</f>
        <v>1</v>
      </c>
      <c r="AU1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96" s="29">
        <f>TBL_CalcDarwin[[#This Row],[Expansión - Barra B - 5.2 - Cerro]]*TBL_CalcDarwin[[#This Row],[AEG 5.2 MW Cerro]]</f>
        <v>0.38200000000000001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5">
        <f t="shared" si="13"/>
        <v>45592.124999999534</v>
      </c>
      <c r="C197" s="17">
        <f>C196+TIME(1,0,0)</f>
        <v>8.1250000000000195</v>
      </c>
      <c r="D197" s="34">
        <f>TBL_CalcDarwin[[#This Row],[Darwin PLOM
MW]]+TBL_CalcDarwin[[#This Row],[Darwin PLOME
MW]]</f>
        <v>30.28</v>
      </c>
      <c r="E197" s="34">
        <f>TBL_CalcDarwin[[#This Row],[PLOM MW TOTAL BARRA A]]+TBL_CalcDarwin[[#This Row],[PLOM MW TOTAL BARRA B]]</f>
        <v>29.245000000000001</v>
      </c>
      <c r="F197" s="34">
        <f>TBL_CalcDarwin[[#This Row],[PLOME MW TOTAL BARRA A]]+TBL_CalcDarwin[[#This Row],[PLOME MW TOTAL BARRA B]]</f>
        <v>1.0350000000000001</v>
      </c>
      <c r="G197" s="48">
        <f>'Plantilla Datos'!D202</f>
        <v>4.2</v>
      </c>
      <c r="H197" s="48">
        <f>'Plantilla Datos'!E202</f>
        <v>5.5</v>
      </c>
      <c r="I197" s="49">
        <f>'Plantilla Datos'!F202</f>
        <v>16.2</v>
      </c>
      <c r="J197" s="47">
        <f>CEILING('Plantilla Datos'!$L$3*TBL_CalcDarwin[[#This Row],[Darwin Gusts
m/s]],0.5)</f>
        <v>4</v>
      </c>
      <c r="K197" s="47">
        <f>CEILING('Plantilla Datos'!$L$4*TBL_CalcDarwin[[#This Row],[Darwin Gusts
m/s]],0.5)</f>
        <v>5</v>
      </c>
      <c r="L197" s="47">
        <f>CEILING(TBL_CalcDarwin[[#This Row],[Darwin Gusts
m/s]],0.5)</f>
        <v>5.5</v>
      </c>
      <c r="M1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97" s="41">
        <f>INDEX(Curva_Temp[Temp],MATCH(TBL_CalcDarwin[[#This Row],[Darwin Temp.
°C]],Curva_Temp[Temp]))</f>
        <v>15</v>
      </c>
      <c r="R197" s="41">
        <f>INDEX(Curva_Temp[Warranted Power Curve for 
1.194Kg/m3 air density '[kW']
SG 5.0-145 (AM+1, 5.2MW) AT 
90M],MATCH(TBL_CalcDarwin[[#This Row],[Darwin Temp.
°C]],Curva_Temp[Temp]))</f>
        <v>5200</v>
      </c>
      <c r="S197" s="41" cm="1">
        <f t="array" ref="S197">INDEX(Curva_Temp[Temp],MATCH(TBL_CalcDarwin[[#This Row],[Darwin Temp.
°C]],Curva_Temp[Temp])+1)</f>
        <v>20</v>
      </c>
      <c r="T197" s="41" cm="1">
        <f t="array" ref="T197">INDEX(Curva_Temp[Warranted Power Curve for 
1.194Kg/m3 air density '[kW']
SG 5.0-145 (AM+1, 5.2MW) AT 
90M],MATCH(TBL_CalcDarwin[[#This Row],[Darwin Temp.
°C]],Curva_Temp[Temp])+1)</f>
        <v>5000</v>
      </c>
      <c r="U1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97" s="41">
        <f>INDEX(Curva_Temp[Temp],MATCH(TBL_CalcDarwin[[#This Row],[Darwin Temp.
°C]],Curva_Temp[Temp]))</f>
        <v>15</v>
      </c>
      <c r="Z197" s="41">
        <f>INDEX(Curva_Temp[Warranted Power Curve for 
1.194Kg/m3 air density '[kW']
SG 5.0-145 (AM 0, 5.0MW) AT 
90M],MATCH(TBL_CalcDarwin[[#This Row],[Darwin Temp.
°C]],Curva_Temp[Temp]))</f>
        <v>5000</v>
      </c>
      <c r="AA197" s="41" cm="1">
        <f t="array" ref="AA197">INDEX(Curva_Temp[Temp],MATCH(TBL_CalcDarwin[[#This Row],[Darwin Temp.
°C]],Curva_Temp[Temp])+1)</f>
        <v>20</v>
      </c>
      <c r="AB197" s="41" cm="1">
        <f t="array" ref="AB197">INDEX(Curva_Temp[Warranted Power Curve for 
1.194Kg/m3 air density '[kW']
SG 5.0-145 (AM 0, 5.0MW) AT 
90M],MATCH(TBL_CalcDarwin[[#This Row],[Darwin Temp.
°C]],Curva_Temp[Temp])+1)</f>
        <v>5000</v>
      </c>
      <c r="AC197" s="45">
        <f>HLOOKUP(TBL_CalcDarwin[[#This Row],[Fecha]],'Plantilla AEG ES'!$E$1:$HX$13,2,FALSE)</f>
        <v>5</v>
      </c>
      <c r="AD197" s="45">
        <f>HLOOKUP(TBL_CalcDarwin[[#This Row],[Fecha]],'Plantilla AEG ES'!$E$1:$HX$13,3,FALSE)</f>
        <v>7</v>
      </c>
      <c r="AE197" s="45">
        <f>HLOOKUP(TBL_CalcDarwin[[#This Row],[Fecha]],'Plantilla AEG ES'!$E$1:$HX$13,4,FALSE)</f>
        <v>11</v>
      </c>
      <c r="AF197" s="45">
        <f>HLOOKUP(TBL_CalcDarwin[[#This Row],[Fecha]],'Plantilla AEG ES'!$E$1:$HX$13,5,FALSE)</f>
        <v>1</v>
      </c>
      <c r="AG197" s="45">
        <f>HLOOKUP(TBL_CalcDarwin[[#This Row],[Fecha]],'Plantilla AEG ES'!$E$1:$HX$13,6,FALSE)</f>
        <v>1</v>
      </c>
      <c r="AH197" s="45">
        <f>HLOOKUP(TBL_CalcDarwin[[#This Row],[Fecha]],'Plantilla AEG ES'!$E$1:$HX$13,7,FALSE)</f>
        <v>0</v>
      </c>
      <c r="AI197" s="46">
        <f>HLOOKUP(TBL_CalcDarwin[[#This Row],[Fecha]],'Plantilla AEG ES'!$E$1:$HX$13,8,FALSE)</f>
        <v>0</v>
      </c>
      <c r="AJ197" s="46">
        <f>HLOOKUP(TBL_CalcDarwin[[#This Row],[Fecha]],'Plantilla AEG ES'!$E$1:$HX$13,9,FALSE)</f>
        <v>3</v>
      </c>
      <c r="AK197" s="46">
        <f>HLOOKUP(TBL_CalcDarwin[[#This Row],[Fecha]],'Plantilla AEG ES'!$E$1:$HX$13,10,FALSE)</f>
        <v>12</v>
      </c>
      <c r="AL197" s="46">
        <f>HLOOKUP(TBL_CalcDarwin[[#This Row],[Fecha]],'Plantilla AEG ES'!$E$1:$HX$13,11,FALSE)</f>
        <v>1</v>
      </c>
      <c r="AM197" s="46">
        <f>HLOOKUP(TBL_CalcDarwin[[#This Row],[Fecha]],'Plantilla AEG ES'!$E$1:$HX$13,12,FALSE)</f>
        <v>7</v>
      </c>
      <c r="AN197" s="46">
        <f>HLOOKUP(TBL_CalcDarwin[[#This Row],[Fecha]],'Plantilla AEG ES'!$E$1:$HX$13,13,FALSE)</f>
        <v>1</v>
      </c>
      <c r="AO197" s="37">
        <f>TBL_CalcDarwin[[#This Row],[Lomitas - Barra A - 5.2 - Cerro]]+TBL_CalcDarwin[[#This Row],[Lomitas - Barra A - 5.2 - Medio]]+TBL_CalcDarwin[[#This Row],[Lomitas - Barra A - 5.2 - Mar]]</f>
        <v>23</v>
      </c>
      <c r="AP1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97" s="37">
        <f>TBL_CalcDarwin[[#This Row],[Expansión - Barra A - 5.2 - Cerro]]+TBL_CalcDarwin[[#This Row],[Expansión - Barra A - 5.2 - Medio]]+TBL_CalcDarwin[[#This Row],[Expansión - Barra A - 5.2 - Mar]]</f>
        <v>2</v>
      </c>
      <c r="AT197" s="37">
        <f>TBL_CalcDarwin[[#This Row],[Expansión - Barra B - 5.2 - Cerro]]</f>
        <v>1</v>
      </c>
      <c r="AU1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97" s="29">
        <f>TBL_CalcDarwin[[#This Row],[Expansión - Barra B - 5.2 - Cerro]]*TBL_CalcDarwin[[#This Row],[AEG 5.2 MW Cerro]]</f>
        <v>0.24399999999999999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5">
        <f t="shared" ref="B198:B229" si="19">B197+TIME(1,0,0)</f>
        <v>45592.166666666199</v>
      </c>
      <c r="C198" s="17">
        <f t="shared" ref="C198:C214" si="20">C197+TIME(1,0,0)</f>
        <v>8.1666666666666856</v>
      </c>
      <c r="D198" s="34">
        <f>TBL_CalcDarwin[[#This Row],[Darwin PLOM
MW]]+TBL_CalcDarwin[[#This Row],[Darwin PLOME
MW]]</f>
        <v>28.465</v>
      </c>
      <c r="E198" s="34">
        <f>TBL_CalcDarwin[[#This Row],[PLOM MW TOTAL BARRA A]]+TBL_CalcDarwin[[#This Row],[PLOM MW TOTAL BARRA B]]</f>
        <v>27.594999999999999</v>
      </c>
      <c r="F198" s="34">
        <f>TBL_CalcDarwin[[#This Row],[PLOME MW TOTAL BARRA A]]+TBL_CalcDarwin[[#This Row],[PLOME MW TOTAL BARRA B]]</f>
        <v>0.87</v>
      </c>
      <c r="G198" s="48">
        <f>'Plantilla Datos'!D203</f>
        <v>4</v>
      </c>
      <c r="H198" s="48">
        <f>'Plantilla Datos'!E203</f>
        <v>5.2</v>
      </c>
      <c r="I198" s="49">
        <f>'Plantilla Datos'!F203</f>
        <v>16.2</v>
      </c>
      <c r="J198" s="47">
        <f>CEILING('Plantilla Datos'!$L$3*TBL_CalcDarwin[[#This Row],[Darwin Gusts
m/s]],0.5)</f>
        <v>4</v>
      </c>
      <c r="K198" s="47">
        <f>CEILING('Plantilla Datos'!$L$4*TBL_CalcDarwin[[#This Row],[Darwin Gusts
m/s]],0.5)</f>
        <v>4.5</v>
      </c>
      <c r="L198" s="47">
        <f>CEILING(TBL_CalcDarwin[[#This Row],[Darwin Gusts
m/s]],0.5)</f>
        <v>5.5</v>
      </c>
      <c r="M1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98" s="41">
        <f>INDEX(Curva_Temp[Temp],MATCH(TBL_CalcDarwin[[#This Row],[Darwin Temp.
°C]],Curva_Temp[Temp]))</f>
        <v>15</v>
      </c>
      <c r="R198" s="41">
        <f>INDEX(Curva_Temp[Warranted Power Curve for 
1.194Kg/m3 air density '[kW']
SG 5.0-145 (AM+1, 5.2MW) AT 
90M],MATCH(TBL_CalcDarwin[[#This Row],[Darwin Temp.
°C]],Curva_Temp[Temp]))</f>
        <v>5200</v>
      </c>
      <c r="S198" s="41" cm="1">
        <f t="array" ref="S198">INDEX(Curva_Temp[Temp],MATCH(TBL_CalcDarwin[[#This Row],[Darwin Temp.
°C]],Curva_Temp[Temp])+1)</f>
        <v>20</v>
      </c>
      <c r="T198" s="41" cm="1">
        <f t="array" ref="T198">INDEX(Curva_Temp[Warranted Power Curve for 
1.194Kg/m3 air density '[kW']
SG 5.0-145 (AM+1, 5.2MW) AT 
90M],MATCH(TBL_CalcDarwin[[#This Row],[Darwin Temp.
°C]],Curva_Temp[Temp])+1)</f>
        <v>5000</v>
      </c>
      <c r="U1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98" s="41">
        <f>INDEX(Curva_Temp[Temp],MATCH(TBL_CalcDarwin[[#This Row],[Darwin Temp.
°C]],Curva_Temp[Temp]))</f>
        <v>15</v>
      </c>
      <c r="Z198" s="41">
        <f>INDEX(Curva_Temp[Warranted Power Curve for 
1.194Kg/m3 air density '[kW']
SG 5.0-145 (AM 0, 5.0MW) AT 
90M],MATCH(TBL_CalcDarwin[[#This Row],[Darwin Temp.
°C]],Curva_Temp[Temp]))</f>
        <v>5000</v>
      </c>
      <c r="AA198" s="41" cm="1">
        <f t="array" ref="AA198">INDEX(Curva_Temp[Temp],MATCH(TBL_CalcDarwin[[#This Row],[Darwin Temp.
°C]],Curva_Temp[Temp])+1)</f>
        <v>20</v>
      </c>
      <c r="AB198" s="41" cm="1">
        <f t="array" ref="AB198">INDEX(Curva_Temp[Warranted Power Curve for 
1.194Kg/m3 air density '[kW']
SG 5.0-145 (AM 0, 5.0MW) AT 
90M],MATCH(TBL_CalcDarwin[[#This Row],[Darwin Temp.
°C]],Curva_Temp[Temp])+1)</f>
        <v>5000</v>
      </c>
      <c r="AC198" s="45">
        <f>HLOOKUP(TBL_CalcDarwin[[#This Row],[Fecha]],'Plantilla AEG ES'!$E$1:$HX$13,2,FALSE)</f>
        <v>5</v>
      </c>
      <c r="AD198" s="45">
        <f>HLOOKUP(TBL_CalcDarwin[[#This Row],[Fecha]],'Plantilla AEG ES'!$E$1:$HX$13,3,FALSE)</f>
        <v>7</v>
      </c>
      <c r="AE198" s="45">
        <f>HLOOKUP(TBL_CalcDarwin[[#This Row],[Fecha]],'Plantilla AEG ES'!$E$1:$HX$13,4,FALSE)</f>
        <v>11</v>
      </c>
      <c r="AF198" s="45">
        <f>HLOOKUP(TBL_CalcDarwin[[#This Row],[Fecha]],'Plantilla AEG ES'!$E$1:$HX$13,5,FALSE)</f>
        <v>1</v>
      </c>
      <c r="AG198" s="45">
        <f>HLOOKUP(TBL_CalcDarwin[[#This Row],[Fecha]],'Plantilla AEG ES'!$E$1:$HX$13,6,FALSE)</f>
        <v>1</v>
      </c>
      <c r="AH198" s="45">
        <f>HLOOKUP(TBL_CalcDarwin[[#This Row],[Fecha]],'Plantilla AEG ES'!$E$1:$HX$13,7,FALSE)</f>
        <v>0</v>
      </c>
      <c r="AI198" s="46">
        <f>HLOOKUP(TBL_CalcDarwin[[#This Row],[Fecha]],'Plantilla AEG ES'!$E$1:$HX$13,8,FALSE)</f>
        <v>0</v>
      </c>
      <c r="AJ198" s="46">
        <f>HLOOKUP(TBL_CalcDarwin[[#This Row],[Fecha]],'Plantilla AEG ES'!$E$1:$HX$13,9,FALSE)</f>
        <v>3</v>
      </c>
      <c r="AK198" s="46">
        <f>HLOOKUP(TBL_CalcDarwin[[#This Row],[Fecha]],'Plantilla AEG ES'!$E$1:$HX$13,10,FALSE)</f>
        <v>12</v>
      </c>
      <c r="AL198" s="46">
        <f>HLOOKUP(TBL_CalcDarwin[[#This Row],[Fecha]],'Plantilla AEG ES'!$E$1:$HX$13,11,FALSE)</f>
        <v>1</v>
      </c>
      <c r="AM198" s="46">
        <f>HLOOKUP(TBL_CalcDarwin[[#This Row],[Fecha]],'Plantilla AEG ES'!$E$1:$HX$13,12,FALSE)</f>
        <v>7</v>
      </c>
      <c r="AN198" s="46">
        <f>HLOOKUP(TBL_CalcDarwin[[#This Row],[Fecha]],'Plantilla AEG ES'!$E$1:$HX$13,13,FALSE)</f>
        <v>1</v>
      </c>
      <c r="AO198" s="37">
        <f>TBL_CalcDarwin[[#This Row],[Lomitas - Barra A - 5.2 - Cerro]]+TBL_CalcDarwin[[#This Row],[Lomitas - Barra A - 5.2 - Medio]]+TBL_CalcDarwin[[#This Row],[Lomitas - Barra A - 5.2 - Mar]]</f>
        <v>23</v>
      </c>
      <c r="AP1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1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98" s="37">
        <f>TBL_CalcDarwin[[#This Row],[Expansión - Barra A - 5.2 - Cerro]]+TBL_CalcDarwin[[#This Row],[Expansión - Barra A - 5.2 - Medio]]+TBL_CalcDarwin[[#This Row],[Expansión - Barra A - 5.2 - Mar]]</f>
        <v>2</v>
      </c>
      <c r="AT198" s="37">
        <f>TBL_CalcDarwin[[#This Row],[Expansión - Barra B - 5.2 - Cerro]]</f>
        <v>1</v>
      </c>
      <c r="AU1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98" s="29">
        <f>TBL_CalcDarwin[[#This Row],[Expansión - Barra B - 5.2 - Cerro]]*TBL_CalcDarwin[[#This Row],[AEG 5.2 MW Cerro]]</f>
        <v>0.24399999999999999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5">
        <f t="shared" si="19"/>
        <v>45592.208333332863</v>
      </c>
      <c r="C199" s="17">
        <f t="shared" si="20"/>
        <v>8.2083333333333517</v>
      </c>
      <c r="D199" s="34">
        <f>TBL_CalcDarwin[[#This Row],[Darwin PLOM
MW]]+TBL_CalcDarwin[[#This Row],[Darwin PLOME
MW]]</f>
        <v>22.497000000000003</v>
      </c>
      <c r="E199" s="34">
        <f>TBL_CalcDarwin[[#This Row],[PLOM MW TOTAL BARRA A]]+TBL_CalcDarwin[[#This Row],[PLOM MW TOTAL BARRA B]]</f>
        <v>21.627000000000002</v>
      </c>
      <c r="F199" s="34">
        <f>TBL_CalcDarwin[[#This Row],[PLOME MW TOTAL BARRA A]]+TBL_CalcDarwin[[#This Row],[PLOME MW TOTAL BARRA B]]</f>
        <v>0.87</v>
      </c>
      <c r="G199" s="48">
        <f>'Plantilla Datos'!D204</f>
        <v>3.7</v>
      </c>
      <c r="H199" s="48">
        <f>'Plantilla Datos'!E204</f>
        <v>4.9000000000000004</v>
      </c>
      <c r="I199" s="49">
        <f>'Plantilla Datos'!F204</f>
        <v>16.3</v>
      </c>
      <c r="J199" s="47">
        <f>CEILING('Plantilla Datos'!$L$3*TBL_CalcDarwin[[#This Row],[Darwin Gusts
m/s]],0.5)</f>
        <v>4</v>
      </c>
      <c r="K199" s="47">
        <f>CEILING('Plantilla Datos'!$L$4*TBL_CalcDarwin[[#This Row],[Darwin Gusts
m/s]],0.5)</f>
        <v>4.5</v>
      </c>
      <c r="L199" s="47">
        <f>CEILING(TBL_CalcDarwin[[#This Row],[Darwin Gusts
m/s]],0.5)</f>
        <v>5</v>
      </c>
      <c r="M1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99" s="41">
        <f>INDEX(Curva_Temp[Temp],MATCH(TBL_CalcDarwin[[#This Row],[Darwin Temp.
°C]],Curva_Temp[Temp]))</f>
        <v>15</v>
      </c>
      <c r="R199" s="41">
        <f>INDEX(Curva_Temp[Warranted Power Curve for 
1.194Kg/m3 air density '[kW']
SG 5.0-145 (AM+1, 5.2MW) AT 
90M],MATCH(TBL_CalcDarwin[[#This Row],[Darwin Temp.
°C]],Curva_Temp[Temp]))</f>
        <v>5200</v>
      </c>
      <c r="S199" s="41" cm="1">
        <f t="array" ref="S199">INDEX(Curva_Temp[Temp],MATCH(TBL_CalcDarwin[[#This Row],[Darwin Temp.
°C]],Curva_Temp[Temp])+1)</f>
        <v>20</v>
      </c>
      <c r="T199" s="41" cm="1">
        <f t="array" ref="T199">INDEX(Curva_Temp[Warranted Power Curve for 
1.194Kg/m3 air density '[kW']
SG 5.0-145 (AM+1, 5.2MW) AT 
90M],MATCH(TBL_CalcDarwin[[#This Row],[Darwin Temp.
°C]],Curva_Temp[Temp])+1)</f>
        <v>5000</v>
      </c>
      <c r="U1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99" s="41">
        <f>INDEX(Curva_Temp[Temp],MATCH(TBL_CalcDarwin[[#This Row],[Darwin Temp.
°C]],Curva_Temp[Temp]))</f>
        <v>15</v>
      </c>
      <c r="Z199" s="41">
        <f>INDEX(Curva_Temp[Warranted Power Curve for 
1.194Kg/m3 air density '[kW']
SG 5.0-145 (AM 0, 5.0MW) AT 
90M],MATCH(TBL_CalcDarwin[[#This Row],[Darwin Temp.
°C]],Curva_Temp[Temp]))</f>
        <v>5000</v>
      </c>
      <c r="AA199" s="41" cm="1">
        <f t="array" ref="AA199">INDEX(Curva_Temp[Temp],MATCH(TBL_CalcDarwin[[#This Row],[Darwin Temp.
°C]],Curva_Temp[Temp])+1)</f>
        <v>20</v>
      </c>
      <c r="AB199" s="41" cm="1">
        <f t="array" ref="AB199">INDEX(Curva_Temp[Warranted Power Curve for 
1.194Kg/m3 air density '[kW']
SG 5.0-145 (AM 0, 5.0MW) AT 
90M],MATCH(TBL_CalcDarwin[[#This Row],[Darwin Temp.
°C]],Curva_Temp[Temp])+1)</f>
        <v>5000</v>
      </c>
      <c r="AC199" s="45">
        <f>HLOOKUP(TBL_CalcDarwin[[#This Row],[Fecha]],'Plantilla AEG ES'!$E$1:$HX$13,2,FALSE)</f>
        <v>5</v>
      </c>
      <c r="AD199" s="45">
        <f>HLOOKUP(TBL_CalcDarwin[[#This Row],[Fecha]],'Plantilla AEG ES'!$E$1:$HX$13,3,FALSE)</f>
        <v>7</v>
      </c>
      <c r="AE199" s="45">
        <f>HLOOKUP(TBL_CalcDarwin[[#This Row],[Fecha]],'Plantilla AEG ES'!$E$1:$HX$13,4,FALSE)</f>
        <v>11</v>
      </c>
      <c r="AF199" s="45">
        <f>HLOOKUP(TBL_CalcDarwin[[#This Row],[Fecha]],'Plantilla AEG ES'!$E$1:$HX$13,5,FALSE)</f>
        <v>1</v>
      </c>
      <c r="AG199" s="45">
        <f>HLOOKUP(TBL_CalcDarwin[[#This Row],[Fecha]],'Plantilla AEG ES'!$E$1:$HX$13,6,FALSE)</f>
        <v>1</v>
      </c>
      <c r="AH199" s="45">
        <f>HLOOKUP(TBL_CalcDarwin[[#This Row],[Fecha]],'Plantilla AEG ES'!$E$1:$HX$13,7,FALSE)</f>
        <v>0</v>
      </c>
      <c r="AI199" s="46">
        <f>HLOOKUP(TBL_CalcDarwin[[#This Row],[Fecha]],'Plantilla AEG ES'!$E$1:$HX$13,8,FALSE)</f>
        <v>0</v>
      </c>
      <c r="AJ199" s="46">
        <f>HLOOKUP(TBL_CalcDarwin[[#This Row],[Fecha]],'Plantilla AEG ES'!$E$1:$HX$13,9,FALSE)</f>
        <v>3</v>
      </c>
      <c r="AK199" s="46">
        <f>HLOOKUP(TBL_CalcDarwin[[#This Row],[Fecha]],'Plantilla AEG ES'!$E$1:$HX$13,10,FALSE)</f>
        <v>12</v>
      </c>
      <c r="AL199" s="46">
        <f>HLOOKUP(TBL_CalcDarwin[[#This Row],[Fecha]],'Plantilla AEG ES'!$E$1:$HX$13,11,FALSE)</f>
        <v>1</v>
      </c>
      <c r="AM199" s="46">
        <f>HLOOKUP(TBL_CalcDarwin[[#This Row],[Fecha]],'Plantilla AEG ES'!$E$1:$HX$13,12,FALSE)</f>
        <v>7</v>
      </c>
      <c r="AN199" s="46">
        <f>HLOOKUP(TBL_CalcDarwin[[#This Row],[Fecha]],'Plantilla AEG ES'!$E$1:$HX$13,13,FALSE)</f>
        <v>1</v>
      </c>
      <c r="AO199" s="37">
        <f>TBL_CalcDarwin[[#This Row],[Lomitas - Barra A - 5.2 - Cerro]]+TBL_CalcDarwin[[#This Row],[Lomitas - Barra A - 5.2 - Medio]]+TBL_CalcDarwin[[#This Row],[Lomitas - Barra A - 5.2 - Mar]]</f>
        <v>23</v>
      </c>
      <c r="AP1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1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99" s="37">
        <f>TBL_CalcDarwin[[#This Row],[Expansión - Barra A - 5.2 - Cerro]]+TBL_CalcDarwin[[#This Row],[Expansión - Barra A - 5.2 - Medio]]+TBL_CalcDarwin[[#This Row],[Expansión - Barra A - 5.2 - Mar]]</f>
        <v>2</v>
      </c>
      <c r="AT199" s="37">
        <f>TBL_CalcDarwin[[#This Row],[Expansión - Barra B - 5.2 - Cerro]]</f>
        <v>1</v>
      </c>
      <c r="AU1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99" s="29">
        <f>TBL_CalcDarwin[[#This Row],[Expansión - Barra B - 5.2 - Cerro]]*TBL_CalcDarwin[[#This Row],[AEG 5.2 MW Cerro]]</f>
        <v>0.24399999999999999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5">
        <f t="shared" si="19"/>
        <v>45592.249999999527</v>
      </c>
      <c r="C200" s="17">
        <f t="shared" si="20"/>
        <v>8.2500000000000178</v>
      </c>
      <c r="D200" s="34">
        <f>TBL_CalcDarwin[[#This Row],[Darwin PLOM
MW]]+TBL_CalcDarwin[[#This Row],[Darwin PLOME
MW]]</f>
        <v>20.073000000000004</v>
      </c>
      <c r="E200" s="34">
        <f>TBL_CalcDarwin[[#This Row],[PLOM MW TOTAL BARRA A]]+TBL_CalcDarwin[[#This Row],[PLOM MW TOTAL BARRA B]]</f>
        <v>19.569000000000003</v>
      </c>
      <c r="F200" s="34">
        <f>TBL_CalcDarwin[[#This Row],[PLOME MW TOTAL BARRA A]]+TBL_CalcDarwin[[#This Row],[PLOME MW TOTAL BARRA B]]</f>
        <v>0.504</v>
      </c>
      <c r="G200" s="48">
        <f>'Plantilla Datos'!D205</f>
        <v>3.5</v>
      </c>
      <c r="H200" s="48">
        <f>'Plantilla Datos'!E205</f>
        <v>4.5999999999999996</v>
      </c>
      <c r="I200" s="49">
        <f>'Plantilla Datos'!F205</f>
        <v>16.600000000000001</v>
      </c>
      <c r="J200" s="47">
        <f>CEILING('Plantilla Datos'!$L$3*TBL_CalcDarwin[[#This Row],[Darwin Gusts
m/s]],0.5)</f>
        <v>3.5</v>
      </c>
      <c r="K200" s="47">
        <f>CEILING('Plantilla Datos'!$L$4*TBL_CalcDarwin[[#This Row],[Darwin Gusts
m/s]],0.5)</f>
        <v>4</v>
      </c>
      <c r="L200" s="47">
        <f>CEILING(TBL_CalcDarwin[[#This Row],[Darwin Gusts
m/s]],0.5)</f>
        <v>5</v>
      </c>
      <c r="M2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2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2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2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200" s="41">
        <f>INDEX(Curva_Temp[Temp],MATCH(TBL_CalcDarwin[[#This Row],[Darwin Temp.
°C]],Curva_Temp[Temp]))</f>
        <v>15</v>
      </c>
      <c r="R200" s="41">
        <f>INDEX(Curva_Temp[Warranted Power Curve for 
1.194Kg/m3 air density '[kW']
SG 5.0-145 (AM+1, 5.2MW) AT 
90M],MATCH(TBL_CalcDarwin[[#This Row],[Darwin Temp.
°C]],Curva_Temp[Temp]))</f>
        <v>5200</v>
      </c>
      <c r="S200" s="41" cm="1">
        <f t="array" ref="S200">INDEX(Curva_Temp[Temp],MATCH(TBL_CalcDarwin[[#This Row],[Darwin Temp.
°C]],Curva_Temp[Temp])+1)</f>
        <v>20</v>
      </c>
      <c r="T200" s="41" cm="1">
        <f t="array" ref="T200">INDEX(Curva_Temp[Warranted Power Curve for 
1.194Kg/m3 air density '[kW']
SG 5.0-145 (AM+1, 5.2MW) AT 
90M],MATCH(TBL_CalcDarwin[[#This Row],[Darwin Temp.
°C]],Curva_Temp[Temp])+1)</f>
        <v>5000</v>
      </c>
      <c r="U2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2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2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200" s="41">
        <f>INDEX(Curva_Temp[Temp],MATCH(TBL_CalcDarwin[[#This Row],[Darwin Temp.
°C]],Curva_Temp[Temp]))</f>
        <v>15</v>
      </c>
      <c r="Z200" s="41">
        <f>INDEX(Curva_Temp[Warranted Power Curve for 
1.194Kg/m3 air density '[kW']
SG 5.0-145 (AM 0, 5.0MW) AT 
90M],MATCH(TBL_CalcDarwin[[#This Row],[Darwin Temp.
°C]],Curva_Temp[Temp]))</f>
        <v>5000</v>
      </c>
      <c r="AA200" s="41" cm="1">
        <f t="array" ref="AA200">INDEX(Curva_Temp[Temp],MATCH(TBL_CalcDarwin[[#This Row],[Darwin Temp.
°C]],Curva_Temp[Temp])+1)</f>
        <v>20</v>
      </c>
      <c r="AB200" s="41" cm="1">
        <f t="array" ref="AB200">INDEX(Curva_Temp[Warranted Power Curve for 
1.194Kg/m3 air density '[kW']
SG 5.0-145 (AM 0, 5.0MW) AT 
90M],MATCH(TBL_CalcDarwin[[#This Row],[Darwin Temp.
°C]],Curva_Temp[Temp])+1)</f>
        <v>5000</v>
      </c>
      <c r="AC200" s="45">
        <f>HLOOKUP(TBL_CalcDarwin[[#This Row],[Fecha]],'Plantilla AEG ES'!$E$1:$HX$13,2,FALSE)</f>
        <v>5</v>
      </c>
      <c r="AD200" s="45">
        <f>HLOOKUP(TBL_CalcDarwin[[#This Row],[Fecha]],'Plantilla AEG ES'!$E$1:$HX$13,3,FALSE)</f>
        <v>7</v>
      </c>
      <c r="AE200" s="45">
        <f>HLOOKUP(TBL_CalcDarwin[[#This Row],[Fecha]],'Plantilla AEG ES'!$E$1:$HX$13,4,FALSE)</f>
        <v>11</v>
      </c>
      <c r="AF200" s="45">
        <f>HLOOKUP(TBL_CalcDarwin[[#This Row],[Fecha]],'Plantilla AEG ES'!$E$1:$HX$13,5,FALSE)</f>
        <v>1</v>
      </c>
      <c r="AG200" s="45">
        <f>HLOOKUP(TBL_CalcDarwin[[#This Row],[Fecha]],'Plantilla AEG ES'!$E$1:$HX$13,6,FALSE)</f>
        <v>1</v>
      </c>
      <c r="AH200" s="45">
        <f>HLOOKUP(TBL_CalcDarwin[[#This Row],[Fecha]],'Plantilla AEG ES'!$E$1:$HX$13,7,FALSE)</f>
        <v>0</v>
      </c>
      <c r="AI200" s="46">
        <f>HLOOKUP(TBL_CalcDarwin[[#This Row],[Fecha]],'Plantilla AEG ES'!$E$1:$HX$13,8,FALSE)</f>
        <v>0</v>
      </c>
      <c r="AJ200" s="46">
        <f>HLOOKUP(TBL_CalcDarwin[[#This Row],[Fecha]],'Plantilla AEG ES'!$E$1:$HX$13,9,FALSE)</f>
        <v>3</v>
      </c>
      <c r="AK200" s="46">
        <f>HLOOKUP(TBL_CalcDarwin[[#This Row],[Fecha]],'Plantilla AEG ES'!$E$1:$HX$13,10,FALSE)</f>
        <v>12</v>
      </c>
      <c r="AL200" s="46">
        <f>HLOOKUP(TBL_CalcDarwin[[#This Row],[Fecha]],'Plantilla AEG ES'!$E$1:$HX$13,11,FALSE)</f>
        <v>1</v>
      </c>
      <c r="AM200" s="46">
        <f>HLOOKUP(TBL_CalcDarwin[[#This Row],[Fecha]],'Plantilla AEG ES'!$E$1:$HX$13,12,FALSE)</f>
        <v>7</v>
      </c>
      <c r="AN200" s="46">
        <f>HLOOKUP(TBL_CalcDarwin[[#This Row],[Fecha]],'Plantilla AEG ES'!$E$1:$HX$13,13,FALSE)</f>
        <v>1</v>
      </c>
      <c r="AO200" s="37">
        <f>TBL_CalcDarwin[[#This Row],[Lomitas - Barra A - 5.2 - Cerro]]+TBL_CalcDarwin[[#This Row],[Lomitas - Barra A - 5.2 - Medio]]+TBL_CalcDarwin[[#This Row],[Lomitas - Barra A - 5.2 - Mar]]</f>
        <v>23</v>
      </c>
      <c r="AP2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8.375</v>
      </c>
      <c r="AR2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11.194000000000001</v>
      </c>
      <c r="AS200" s="37">
        <f>TBL_CalcDarwin[[#This Row],[Expansión - Barra A - 5.2 - Cerro]]+TBL_CalcDarwin[[#This Row],[Expansión - Barra A - 5.2 - Medio]]+TBL_CalcDarwin[[#This Row],[Expansión - Barra A - 5.2 - Mar]]</f>
        <v>2</v>
      </c>
      <c r="AT200" s="37">
        <f>TBL_CalcDarwin[[#This Row],[Expansión - Barra B - 5.2 - Cerro]]</f>
        <v>1</v>
      </c>
      <c r="AU2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200" s="29">
        <f>TBL_CalcDarwin[[#This Row],[Expansión - Barra B - 5.2 - Cerro]]*TBL_CalcDarwin[[#This Row],[AEG 5.2 MW Cerro]]</f>
        <v>0.13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5">
        <f t="shared" si="19"/>
        <v>45592.291666666191</v>
      </c>
      <c r="C201" s="17">
        <f t="shared" si="20"/>
        <v>8.2916666666666838</v>
      </c>
      <c r="D201" s="34">
        <f>TBL_CalcDarwin[[#This Row],[Darwin PLOM
MW]]+TBL_CalcDarwin[[#This Row],[Darwin PLOME
MW]]</f>
        <v>15.102</v>
      </c>
      <c r="E201" s="34">
        <f>TBL_CalcDarwin[[#This Row],[PLOM MW TOTAL BARRA A]]+TBL_CalcDarwin[[#This Row],[PLOM MW TOTAL BARRA B]]</f>
        <v>14.598000000000001</v>
      </c>
      <c r="F201" s="34">
        <f>TBL_CalcDarwin[[#This Row],[PLOME MW TOTAL BARRA A]]+TBL_CalcDarwin[[#This Row],[PLOME MW TOTAL BARRA B]]</f>
        <v>0.504</v>
      </c>
      <c r="G201" s="48">
        <f>'Plantilla Datos'!D206</f>
        <v>3.2</v>
      </c>
      <c r="H201" s="48">
        <f>'Plantilla Datos'!E206</f>
        <v>4.3</v>
      </c>
      <c r="I201" s="49">
        <f>'Plantilla Datos'!F206</f>
        <v>16.7</v>
      </c>
      <c r="J201" s="47">
        <f>CEILING('Plantilla Datos'!$L$3*TBL_CalcDarwin[[#This Row],[Darwin Gusts
m/s]],0.5)</f>
        <v>3.5</v>
      </c>
      <c r="K201" s="47">
        <f>CEILING('Plantilla Datos'!$L$4*TBL_CalcDarwin[[#This Row],[Darwin Gusts
m/s]],0.5)</f>
        <v>4</v>
      </c>
      <c r="L201" s="47">
        <f>CEILING(TBL_CalcDarwin[[#This Row],[Darwin Gusts
m/s]],0.5)</f>
        <v>4.5</v>
      </c>
      <c r="M2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2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2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2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201" s="41">
        <f>INDEX(Curva_Temp[Temp],MATCH(TBL_CalcDarwin[[#This Row],[Darwin Temp.
°C]],Curva_Temp[Temp]))</f>
        <v>15</v>
      </c>
      <c r="R201" s="41">
        <f>INDEX(Curva_Temp[Warranted Power Curve for 
1.194Kg/m3 air density '[kW']
SG 5.0-145 (AM+1, 5.2MW) AT 
90M],MATCH(TBL_CalcDarwin[[#This Row],[Darwin Temp.
°C]],Curva_Temp[Temp]))</f>
        <v>5200</v>
      </c>
      <c r="S201" s="41" cm="1">
        <f t="array" ref="S201">INDEX(Curva_Temp[Temp],MATCH(TBL_CalcDarwin[[#This Row],[Darwin Temp.
°C]],Curva_Temp[Temp])+1)</f>
        <v>20</v>
      </c>
      <c r="T201" s="41" cm="1">
        <f t="array" ref="T201">INDEX(Curva_Temp[Warranted Power Curve for 
1.194Kg/m3 air density '[kW']
SG 5.0-145 (AM+1, 5.2MW) AT 
90M],MATCH(TBL_CalcDarwin[[#This Row],[Darwin Temp.
°C]],Curva_Temp[Temp])+1)</f>
        <v>5000</v>
      </c>
      <c r="U2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2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2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201" s="41">
        <f>INDEX(Curva_Temp[Temp],MATCH(TBL_CalcDarwin[[#This Row],[Darwin Temp.
°C]],Curva_Temp[Temp]))</f>
        <v>15</v>
      </c>
      <c r="Z201" s="41">
        <f>INDEX(Curva_Temp[Warranted Power Curve for 
1.194Kg/m3 air density '[kW']
SG 5.0-145 (AM 0, 5.0MW) AT 
90M],MATCH(TBL_CalcDarwin[[#This Row],[Darwin Temp.
°C]],Curva_Temp[Temp]))</f>
        <v>5000</v>
      </c>
      <c r="AA201" s="41" cm="1">
        <f t="array" ref="AA201">INDEX(Curva_Temp[Temp],MATCH(TBL_CalcDarwin[[#This Row],[Darwin Temp.
°C]],Curva_Temp[Temp])+1)</f>
        <v>20</v>
      </c>
      <c r="AB201" s="41" cm="1">
        <f t="array" ref="AB201">INDEX(Curva_Temp[Warranted Power Curve for 
1.194Kg/m3 air density '[kW']
SG 5.0-145 (AM 0, 5.0MW) AT 
90M],MATCH(TBL_CalcDarwin[[#This Row],[Darwin Temp.
°C]],Curva_Temp[Temp])+1)</f>
        <v>5000</v>
      </c>
      <c r="AC201" s="45">
        <f>HLOOKUP(TBL_CalcDarwin[[#This Row],[Fecha]],'Plantilla AEG ES'!$E$1:$HX$13,2,FALSE)</f>
        <v>5</v>
      </c>
      <c r="AD201" s="45">
        <f>HLOOKUP(TBL_CalcDarwin[[#This Row],[Fecha]],'Plantilla AEG ES'!$E$1:$HX$13,3,FALSE)</f>
        <v>7</v>
      </c>
      <c r="AE201" s="45">
        <f>HLOOKUP(TBL_CalcDarwin[[#This Row],[Fecha]],'Plantilla AEG ES'!$E$1:$HX$13,4,FALSE)</f>
        <v>11</v>
      </c>
      <c r="AF201" s="45">
        <f>HLOOKUP(TBL_CalcDarwin[[#This Row],[Fecha]],'Plantilla AEG ES'!$E$1:$HX$13,5,FALSE)</f>
        <v>1</v>
      </c>
      <c r="AG201" s="45">
        <f>HLOOKUP(TBL_CalcDarwin[[#This Row],[Fecha]],'Plantilla AEG ES'!$E$1:$HX$13,6,FALSE)</f>
        <v>1</v>
      </c>
      <c r="AH201" s="45">
        <f>HLOOKUP(TBL_CalcDarwin[[#This Row],[Fecha]],'Plantilla AEG ES'!$E$1:$HX$13,7,FALSE)</f>
        <v>0</v>
      </c>
      <c r="AI201" s="46">
        <f>HLOOKUP(TBL_CalcDarwin[[#This Row],[Fecha]],'Plantilla AEG ES'!$E$1:$HX$13,8,FALSE)</f>
        <v>0</v>
      </c>
      <c r="AJ201" s="46">
        <f>HLOOKUP(TBL_CalcDarwin[[#This Row],[Fecha]],'Plantilla AEG ES'!$E$1:$HX$13,9,FALSE)</f>
        <v>3</v>
      </c>
      <c r="AK201" s="46">
        <f>HLOOKUP(TBL_CalcDarwin[[#This Row],[Fecha]],'Plantilla AEG ES'!$E$1:$HX$13,10,FALSE)</f>
        <v>12</v>
      </c>
      <c r="AL201" s="46">
        <f>HLOOKUP(TBL_CalcDarwin[[#This Row],[Fecha]],'Plantilla AEG ES'!$E$1:$HX$13,11,FALSE)</f>
        <v>1</v>
      </c>
      <c r="AM201" s="46">
        <f>HLOOKUP(TBL_CalcDarwin[[#This Row],[Fecha]],'Plantilla AEG ES'!$E$1:$HX$13,12,FALSE)</f>
        <v>7</v>
      </c>
      <c r="AN201" s="46">
        <f>HLOOKUP(TBL_CalcDarwin[[#This Row],[Fecha]],'Plantilla AEG ES'!$E$1:$HX$13,13,FALSE)</f>
        <v>1</v>
      </c>
      <c r="AO201" s="37">
        <f>TBL_CalcDarwin[[#This Row],[Lomitas - Barra A - 5.2 - Cerro]]+TBL_CalcDarwin[[#This Row],[Lomitas - Barra A - 5.2 - Medio]]+TBL_CalcDarwin[[#This Row],[Lomitas - Barra A - 5.2 - Mar]]</f>
        <v>23</v>
      </c>
      <c r="AP2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2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201" s="37">
        <f>TBL_CalcDarwin[[#This Row],[Expansión - Barra A - 5.2 - Cerro]]+TBL_CalcDarwin[[#This Row],[Expansión - Barra A - 5.2 - Medio]]+TBL_CalcDarwin[[#This Row],[Expansión - Barra A - 5.2 - Mar]]</f>
        <v>2</v>
      </c>
      <c r="AT201" s="37">
        <f>TBL_CalcDarwin[[#This Row],[Expansión - Barra B - 5.2 - Cerro]]</f>
        <v>1</v>
      </c>
      <c r="AU2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201" s="29">
        <f>TBL_CalcDarwin[[#This Row],[Expansión - Barra B - 5.2 - Cerro]]*TBL_CalcDarwin[[#This Row],[AEG 5.2 MW Cerro]]</f>
        <v>0.13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5">
        <f t="shared" si="19"/>
        <v>45592.333333332856</v>
      </c>
      <c r="C202" s="17">
        <f t="shared" si="20"/>
        <v>8.3333333333333499</v>
      </c>
      <c r="D202" s="34">
        <f>TBL_CalcDarwin[[#This Row],[Darwin PLOM
MW]]+TBL_CalcDarwin[[#This Row],[Darwin PLOME
MW]]</f>
        <v>28.465</v>
      </c>
      <c r="E202" s="34">
        <f>TBL_CalcDarwin[[#This Row],[PLOM MW TOTAL BARRA A]]+TBL_CalcDarwin[[#This Row],[PLOM MW TOTAL BARRA B]]</f>
        <v>27.594999999999999</v>
      </c>
      <c r="F202" s="34">
        <f>TBL_CalcDarwin[[#This Row],[PLOME MW TOTAL BARRA A]]+TBL_CalcDarwin[[#This Row],[PLOME MW TOTAL BARRA B]]</f>
        <v>0.87</v>
      </c>
      <c r="G202" s="48">
        <f>'Plantilla Datos'!D207</f>
        <v>4</v>
      </c>
      <c r="H202" s="48">
        <f>'Plantilla Datos'!E207</f>
        <v>5.2</v>
      </c>
      <c r="I202" s="49">
        <f>'Plantilla Datos'!F207</f>
        <v>17.100000000000001</v>
      </c>
      <c r="J202" s="47">
        <f>CEILING('Plantilla Datos'!$L$3*TBL_CalcDarwin[[#This Row],[Darwin Gusts
m/s]],0.5)</f>
        <v>4</v>
      </c>
      <c r="K202" s="47">
        <f>CEILING('Plantilla Datos'!$L$4*TBL_CalcDarwin[[#This Row],[Darwin Gusts
m/s]],0.5)</f>
        <v>4.5</v>
      </c>
      <c r="L202" s="47">
        <f>CEILING(TBL_CalcDarwin[[#This Row],[Darwin Gusts
m/s]],0.5)</f>
        <v>5.5</v>
      </c>
      <c r="M2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2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2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2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202" s="41">
        <f>INDEX(Curva_Temp[Temp],MATCH(TBL_CalcDarwin[[#This Row],[Darwin Temp.
°C]],Curva_Temp[Temp]))</f>
        <v>15</v>
      </c>
      <c r="R202" s="41">
        <f>INDEX(Curva_Temp[Warranted Power Curve for 
1.194Kg/m3 air density '[kW']
SG 5.0-145 (AM+1, 5.2MW) AT 
90M],MATCH(TBL_CalcDarwin[[#This Row],[Darwin Temp.
°C]],Curva_Temp[Temp]))</f>
        <v>5200</v>
      </c>
      <c r="S202" s="41" cm="1">
        <f t="array" ref="S202">INDEX(Curva_Temp[Temp],MATCH(TBL_CalcDarwin[[#This Row],[Darwin Temp.
°C]],Curva_Temp[Temp])+1)</f>
        <v>20</v>
      </c>
      <c r="T202" s="41" cm="1">
        <f t="array" ref="T202">INDEX(Curva_Temp[Warranted Power Curve for 
1.194Kg/m3 air density '[kW']
SG 5.0-145 (AM+1, 5.2MW) AT 
90M],MATCH(TBL_CalcDarwin[[#This Row],[Darwin Temp.
°C]],Curva_Temp[Temp])+1)</f>
        <v>5000</v>
      </c>
      <c r="U2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2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2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202" s="41">
        <f>INDEX(Curva_Temp[Temp],MATCH(TBL_CalcDarwin[[#This Row],[Darwin Temp.
°C]],Curva_Temp[Temp]))</f>
        <v>15</v>
      </c>
      <c r="Z202" s="41">
        <f>INDEX(Curva_Temp[Warranted Power Curve for 
1.194Kg/m3 air density '[kW']
SG 5.0-145 (AM 0, 5.0MW) AT 
90M],MATCH(TBL_CalcDarwin[[#This Row],[Darwin Temp.
°C]],Curva_Temp[Temp]))</f>
        <v>5000</v>
      </c>
      <c r="AA202" s="41" cm="1">
        <f t="array" ref="AA202">INDEX(Curva_Temp[Temp],MATCH(TBL_CalcDarwin[[#This Row],[Darwin Temp.
°C]],Curva_Temp[Temp])+1)</f>
        <v>20</v>
      </c>
      <c r="AB202" s="41" cm="1">
        <f t="array" ref="AB202">INDEX(Curva_Temp[Warranted Power Curve for 
1.194Kg/m3 air density '[kW']
SG 5.0-145 (AM 0, 5.0MW) AT 
90M],MATCH(TBL_CalcDarwin[[#This Row],[Darwin Temp.
°C]],Curva_Temp[Temp])+1)</f>
        <v>5000</v>
      </c>
      <c r="AC202" s="45">
        <f>HLOOKUP(TBL_CalcDarwin[[#This Row],[Fecha]],'Plantilla AEG ES'!$E$1:$HX$13,2,FALSE)</f>
        <v>5</v>
      </c>
      <c r="AD202" s="45">
        <f>HLOOKUP(TBL_CalcDarwin[[#This Row],[Fecha]],'Plantilla AEG ES'!$E$1:$HX$13,3,FALSE)</f>
        <v>7</v>
      </c>
      <c r="AE202" s="45">
        <f>HLOOKUP(TBL_CalcDarwin[[#This Row],[Fecha]],'Plantilla AEG ES'!$E$1:$HX$13,4,FALSE)</f>
        <v>11</v>
      </c>
      <c r="AF202" s="45">
        <f>HLOOKUP(TBL_CalcDarwin[[#This Row],[Fecha]],'Plantilla AEG ES'!$E$1:$HX$13,5,FALSE)</f>
        <v>1</v>
      </c>
      <c r="AG202" s="45">
        <f>HLOOKUP(TBL_CalcDarwin[[#This Row],[Fecha]],'Plantilla AEG ES'!$E$1:$HX$13,6,FALSE)</f>
        <v>1</v>
      </c>
      <c r="AH202" s="45">
        <f>HLOOKUP(TBL_CalcDarwin[[#This Row],[Fecha]],'Plantilla AEG ES'!$E$1:$HX$13,7,FALSE)</f>
        <v>0</v>
      </c>
      <c r="AI202" s="46">
        <f>HLOOKUP(TBL_CalcDarwin[[#This Row],[Fecha]],'Plantilla AEG ES'!$E$1:$HX$13,8,FALSE)</f>
        <v>0</v>
      </c>
      <c r="AJ202" s="46">
        <f>HLOOKUP(TBL_CalcDarwin[[#This Row],[Fecha]],'Plantilla AEG ES'!$E$1:$HX$13,9,FALSE)</f>
        <v>3</v>
      </c>
      <c r="AK202" s="46">
        <f>HLOOKUP(TBL_CalcDarwin[[#This Row],[Fecha]],'Plantilla AEG ES'!$E$1:$HX$13,10,FALSE)</f>
        <v>12</v>
      </c>
      <c r="AL202" s="46">
        <f>HLOOKUP(TBL_CalcDarwin[[#This Row],[Fecha]],'Plantilla AEG ES'!$E$1:$HX$13,11,FALSE)</f>
        <v>1</v>
      </c>
      <c r="AM202" s="46">
        <f>HLOOKUP(TBL_CalcDarwin[[#This Row],[Fecha]],'Plantilla AEG ES'!$E$1:$HX$13,12,FALSE)</f>
        <v>7</v>
      </c>
      <c r="AN202" s="46">
        <f>HLOOKUP(TBL_CalcDarwin[[#This Row],[Fecha]],'Plantilla AEG ES'!$E$1:$HX$13,13,FALSE)</f>
        <v>1</v>
      </c>
      <c r="AO202" s="37">
        <f>TBL_CalcDarwin[[#This Row],[Lomitas - Barra A - 5.2 - Cerro]]+TBL_CalcDarwin[[#This Row],[Lomitas - Barra A - 5.2 - Medio]]+TBL_CalcDarwin[[#This Row],[Lomitas - Barra A - 5.2 - Mar]]</f>
        <v>23</v>
      </c>
      <c r="AP2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2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202" s="37">
        <f>TBL_CalcDarwin[[#This Row],[Expansión - Barra A - 5.2 - Cerro]]+TBL_CalcDarwin[[#This Row],[Expansión - Barra A - 5.2 - Medio]]+TBL_CalcDarwin[[#This Row],[Expansión - Barra A - 5.2 - Mar]]</f>
        <v>2</v>
      </c>
      <c r="AT202" s="37">
        <f>TBL_CalcDarwin[[#This Row],[Expansión - Barra B - 5.2 - Cerro]]</f>
        <v>1</v>
      </c>
      <c r="AU2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202" s="29">
        <f>TBL_CalcDarwin[[#This Row],[Expansión - Barra B - 5.2 - Cerro]]*TBL_CalcDarwin[[#This Row],[AEG 5.2 MW Cerro]]</f>
        <v>0.24399999999999999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5">
        <f t="shared" si="19"/>
        <v>45592.37499999952</v>
      </c>
      <c r="C203" s="17">
        <f t="shared" si="20"/>
        <v>8.375000000000016</v>
      </c>
      <c r="D203" s="34">
        <f>TBL_CalcDarwin[[#This Row],[Darwin PLOM
MW]]+TBL_CalcDarwin[[#This Row],[Darwin PLOME
MW]]</f>
        <v>49.213000000000001</v>
      </c>
      <c r="E203" s="34">
        <f>TBL_CalcDarwin[[#This Row],[PLOM MW TOTAL BARRA A]]+TBL_CalcDarwin[[#This Row],[PLOM MW TOTAL BARRA B]]</f>
        <v>47.704000000000001</v>
      </c>
      <c r="F203" s="34">
        <f>TBL_CalcDarwin[[#This Row],[PLOME MW TOTAL BARRA A]]+TBL_CalcDarwin[[#This Row],[PLOME MW TOTAL BARRA B]]</f>
        <v>1.5089999999999999</v>
      </c>
      <c r="G203" s="48">
        <f>'Plantilla Datos'!D208</f>
        <v>4.8</v>
      </c>
      <c r="H203" s="48">
        <f>'Plantilla Datos'!E208</f>
        <v>6.2</v>
      </c>
      <c r="I203" s="49">
        <f>'Plantilla Datos'!F208</f>
        <v>17.600000000000001</v>
      </c>
      <c r="J203" s="47">
        <f>CEILING('Plantilla Datos'!$L$3*TBL_CalcDarwin[[#This Row],[Darwin Gusts
m/s]],0.5)</f>
        <v>4.5</v>
      </c>
      <c r="K203" s="47">
        <f>CEILING('Plantilla Datos'!$L$4*TBL_CalcDarwin[[#This Row],[Darwin Gusts
m/s]],0.5)</f>
        <v>5.5</v>
      </c>
      <c r="L203" s="47">
        <f>CEILING(TBL_CalcDarwin[[#This Row],[Darwin Gusts
m/s]],0.5)</f>
        <v>6.5</v>
      </c>
      <c r="M2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2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203" s="41">
        <f>INDEX(Curva_Temp[Temp],MATCH(TBL_CalcDarwin[[#This Row],[Darwin Temp.
°C]],Curva_Temp[Temp]))</f>
        <v>15</v>
      </c>
      <c r="R203" s="41">
        <f>INDEX(Curva_Temp[Warranted Power Curve for 
1.194Kg/m3 air density '[kW']
SG 5.0-145 (AM+1, 5.2MW) AT 
90M],MATCH(TBL_CalcDarwin[[#This Row],[Darwin Temp.
°C]],Curva_Temp[Temp]))</f>
        <v>5200</v>
      </c>
      <c r="S203" s="41" cm="1">
        <f t="array" ref="S203">INDEX(Curva_Temp[Temp],MATCH(TBL_CalcDarwin[[#This Row],[Darwin Temp.
°C]],Curva_Temp[Temp])+1)</f>
        <v>20</v>
      </c>
      <c r="T203" s="41" cm="1">
        <f t="array" ref="T203">INDEX(Curva_Temp[Warranted Power Curve for 
1.194Kg/m3 air density '[kW']
SG 5.0-145 (AM+1, 5.2MW) AT 
90M],MATCH(TBL_CalcDarwin[[#This Row],[Darwin Temp.
°C]],Curva_Temp[Temp])+1)</f>
        <v>5000</v>
      </c>
      <c r="U2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203" s="41">
        <f>INDEX(Curva_Temp[Temp],MATCH(TBL_CalcDarwin[[#This Row],[Darwin Temp.
°C]],Curva_Temp[Temp]))</f>
        <v>15</v>
      </c>
      <c r="Z203" s="41">
        <f>INDEX(Curva_Temp[Warranted Power Curve for 
1.194Kg/m3 air density '[kW']
SG 5.0-145 (AM 0, 5.0MW) AT 
90M],MATCH(TBL_CalcDarwin[[#This Row],[Darwin Temp.
°C]],Curva_Temp[Temp]))</f>
        <v>5000</v>
      </c>
      <c r="AA203" s="41" cm="1">
        <f t="array" ref="AA203">INDEX(Curva_Temp[Temp],MATCH(TBL_CalcDarwin[[#This Row],[Darwin Temp.
°C]],Curva_Temp[Temp])+1)</f>
        <v>20</v>
      </c>
      <c r="AB203" s="41" cm="1">
        <f t="array" ref="AB203">INDEX(Curva_Temp[Warranted Power Curve for 
1.194Kg/m3 air density '[kW']
SG 5.0-145 (AM 0, 5.0MW) AT 
90M],MATCH(TBL_CalcDarwin[[#This Row],[Darwin Temp.
°C]],Curva_Temp[Temp])+1)</f>
        <v>5000</v>
      </c>
      <c r="AC203" s="45">
        <f>HLOOKUP(TBL_CalcDarwin[[#This Row],[Fecha]],'Plantilla AEG ES'!$E$1:$HX$13,2,FALSE)</f>
        <v>5</v>
      </c>
      <c r="AD203" s="45">
        <f>HLOOKUP(TBL_CalcDarwin[[#This Row],[Fecha]],'Plantilla AEG ES'!$E$1:$HX$13,3,FALSE)</f>
        <v>7</v>
      </c>
      <c r="AE203" s="45">
        <f>HLOOKUP(TBL_CalcDarwin[[#This Row],[Fecha]],'Plantilla AEG ES'!$E$1:$HX$13,4,FALSE)</f>
        <v>11</v>
      </c>
      <c r="AF203" s="45">
        <f>HLOOKUP(TBL_CalcDarwin[[#This Row],[Fecha]],'Plantilla AEG ES'!$E$1:$HX$13,5,FALSE)</f>
        <v>1</v>
      </c>
      <c r="AG203" s="45">
        <f>HLOOKUP(TBL_CalcDarwin[[#This Row],[Fecha]],'Plantilla AEG ES'!$E$1:$HX$13,6,FALSE)</f>
        <v>1</v>
      </c>
      <c r="AH203" s="45">
        <f>HLOOKUP(TBL_CalcDarwin[[#This Row],[Fecha]],'Plantilla AEG ES'!$E$1:$HX$13,7,FALSE)</f>
        <v>0</v>
      </c>
      <c r="AI203" s="46">
        <f>HLOOKUP(TBL_CalcDarwin[[#This Row],[Fecha]],'Plantilla AEG ES'!$E$1:$HX$13,8,FALSE)</f>
        <v>0</v>
      </c>
      <c r="AJ203" s="46">
        <f>HLOOKUP(TBL_CalcDarwin[[#This Row],[Fecha]],'Plantilla AEG ES'!$E$1:$HX$13,9,FALSE)</f>
        <v>3</v>
      </c>
      <c r="AK203" s="46">
        <f>HLOOKUP(TBL_CalcDarwin[[#This Row],[Fecha]],'Plantilla AEG ES'!$E$1:$HX$13,10,FALSE)</f>
        <v>12</v>
      </c>
      <c r="AL203" s="46">
        <f>HLOOKUP(TBL_CalcDarwin[[#This Row],[Fecha]],'Plantilla AEG ES'!$E$1:$HX$13,11,FALSE)</f>
        <v>1</v>
      </c>
      <c r="AM203" s="46">
        <f>HLOOKUP(TBL_CalcDarwin[[#This Row],[Fecha]],'Plantilla AEG ES'!$E$1:$HX$13,12,FALSE)</f>
        <v>7</v>
      </c>
      <c r="AN203" s="46">
        <f>HLOOKUP(TBL_CalcDarwin[[#This Row],[Fecha]],'Plantilla AEG ES'!$E$1:$HX$13,13,FALSE)</f>
        <v>1</v>
      </c>
      <c r="AO203" s="37">
        <f>TBL_CalcDarwin[[#This Row],[Lomitas - Barra A - 5.2 - Cerro]]+TBL_CalcDarwin[[#This Row],[Lomitas - Barra A - 5.2 - Medio]]+TBL_CalcDarwin[[#This Row],[Lomitas - Barra A - 5.2 - Mar]]</f>
        <v>23</v>
      </c>
      <c r="AP2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2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203" s="37">
        <f>TBL_CalcDarwin[[#This Row],[Expansión - Barra A - 5.2 - Cerro]]+TBL_CalcDarwin[[#This Row],[Expansión - Barra A - 5.2 - Medio]]+TBL_CalcDarwin[[#This Row],[Expansión - Barra A - 5.2 - Mar]]</f>
        <v>2</v>
      </c>
      <c r="AT203" s="37">
        <f>TBL_CalcDarwin[[#This Row],[Expansión - Barra B - 5.2 - Cerro]]</f>
        <v>1</v>
      </c>
      <c r="AU2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203" s="29">
        <f>TBL_CalcDarwin[[#This Row],[Expansión - Barra B - 5.2 - Cerro]]*TBL_CalcDarwin[[#This Row],[AEG 5.2 MW Cerro]]</f>
        <v>0.38200000000000001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5">
        <f t="shared" si="19"/>
        <v>45592.416666666184</v>
      </c>
      <c r="C204" s="17">
        <f t="shared" si="20"/>
        <v>8.4166666666666821</v>
      </c>
      <c r="D204" s="34">
        <f>TBL_CalcDarwin[[#This Row],[Darwin PLOM
MW]]+TBL_CalcDarwin[[#This Row],[Darwin PLOME
MW]]</f>
        <v>79.186999999999998</v>
      </c>
      <c r="E204" s="34">
        <f>TBL_CalcDarwin[[#This Row],[PLOM MW TOTAL BARRA A]]+TBL_CalcDarwin[[#This Row],[PLOM MW TOTAL BARRA B]]</f>
        <v>76.430999999999997</v>
      </c>
      <c r="F204" s="34">
        <f>TBL_CalcDarwin[[#This Row],[PLOME MW TOTAL BARRA A]]+TBL_CalcDarwin[[#This Row],[PLOME MW TOTAL BARRA B]]</f>
        <v>2.7560000000000002</v>
      </c>
      <c r="G204" s="48">
        <f>'Plantilla Datos'!D209</f>
        <v>5.6</v>
      </c>
      <c r="H204" s="48">
        <f>'Plantilla Datos'!E209</f>
        <v>7.2</v>
      </c>
      <c r="I204" s="49">
        <f>'Plantilla Datos'!F209</f>
        <v>18.100000000000001</v>
      </c>
      <c r="J204" s="47">
        <f>CEILING('Plantilla Datos'!$L$3*TBL_CalcDarwin[[#This Row],[Darwin Gusts
m/s]],0.5)</f>
        <v>5.5</v>
      </c>
      <c r="K204" s="47">
        <f>CEILING('Plantilla Datos'!$L$4*TBL_CalcDarwin[[#This Row],[Darwin Gusts
m/s]],0.5)</f>
        <v>6.5</v>
      </c>
      <c r="L204" s="47">
        <f>CEILING(TBL_CalcDarwin[[#This Row],[Darwin Gusts
m/s]],0.5)</f>
        <v>7.5</v>
      </c>
      <c r="M2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2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04" s="41">
        <f>INDEX(Curva_Temp[Temp],MATCH(TBL_CalcDarwin[[#This Row],[Darwin Temp.
°C]],Curva_Temp[Temp]))</f>
        <v>15</v>
      </c>
      <c r="R204" s="41">
        <f>INDEX(Curva_Temp[Warranted Power Curve for 
1.194Kg/m3 air density '[kW']
SG 5.0-145 (AM+1, 5.2MW) AT 
90M],MATCH(TBL_CalcDarwin[[#This Row],[Darwin Temp.
°C]],Curva_Temp[Temp]))</f>
        <v>5200</v>
      </c>
      <c r="S204" s="41" cm="1">
        <f t="array" ref="S204">INDEX(Curva_Temp[Temp],MATCH(TBL_CalcDarwin[[#This Row],[Darwin Temp.
°C]],Curva_Temp[Temp])+1)</f>
        <v>20</v>
      </c>
      <c r="T204" s="41" cm="1">
        <f t="array" ref="T204">INDEX(Curva_Temp[Warranted Power Curve for 
1.194Kg/m3 air density '[kW']
SG 5.0-145 (AM+1, 5.2MW) AT 
90M],MATCH(TBL_CalcDarwin[[#This Row],[Darwin Temp.
°C]],Curva_Temp[Temp])+1)</f>
        <v>5000</v>
      </c>
      <c r="U2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04" s="41">
        <f>INDEX(Curva_Temp[Temp],MATCH(TBL_CalcDarwin[[#This Row],[Darwin Temp.
°C]],Curva_Temp[Temp]))</f>
        <v>15</v>
      </c>
      <c r="Z204" s="41">
        <f>INDEX(Curva_Temp[Warranted Power Curve for 
1.194Kg/m3 air density '[kW']
SG 5.0-145 (AM 0, 5.0MW) AT 
90M],MATCH(TBL_CalcDarwin[[#This Row],[Darwin Temp.
°C]],Curva_Temp[Temp]))</f>
        <v>5000</v>
      </c>
      <c r="AA204" s="41" cm="1">
        <f t="array" ref="AA204">INDEX(Curva_Temp[Temp],MATCH(TBL_CalcDarwin[[#This Row],[Darwin Temp.
°C]],Curva_Temp[Temp])+1)</f>
        <v>20</v>
      </c>
      <c r="AB204" s="41" cm="1">
        <f t="array" ref="AB204">INDEX(Curva_Temp[Warranted Power Curve for 
1.194Kg/m3 air density '[kW']
SG 5.0-145 (AM 0, 5.0MW) AT 
90M],MATCH(TBL_CalcDarwin[[#This Row],[Darwin Temp.
°C]],Curva_Temp[Temp])+1)</f>
        <v>5000</v>
      </c>
      <c r="AC204" s="45">
        <f>HLOOKUP(TBL_CalcDarwin[[#This Row],[Fecha]],'Plantilla AEG ES'!$E$1:$HX$13,2,FALSE)</f>
        <v>5</v>
      </c>
      <c r="AD204" s="45">
        <f>HLOOKUP(TBL_CalcDarwin[[#This Row],[Fecha]],'Plantilla AEG ES'!$E$1:$HX$13,3,FALSE)</f>
        <v>7</v>
      </c>
      <c r="AE204" s="45">
        <f>HLOOKUP(TBL_CalcDarwin[[#This Row],[Fecha]],'Plantilla AEG ES'!$E$1:$HX$13,4,FALSE)</f>
        <v>11</v>
      </c>
      <c r="AF204" s="45">
        <f>HLOOKUP(TBL_CalcDarwin[[#This Row],[Fecha]],'Plantilla AEG ES'!$E$1:$HX$13,5,FALSE)</f>
        <v>1</v>
      </c>
      <c r="AG204" s="45">
        <f>HLOOKUP(TBL_CalcDarwin[[#This Row],[Fecha]],'Plantilla AEG ES'!$E$1:$HX$13,6,FALSE)</f>
        <v>1</v>
      </c>
      <c r="AH204" s="45">
        <f>HLOOKUP(TBL_CalcDarwin[[#This Row],[Fecha]],'Plantilla AEG ES'!$E$1:$HX$13,7,FALSE)</f>
        <v>0</v>
      </c>
      <c r="AI204" s="46">
        <f>HLOOKUP(TBL_CalcDarwin[[#This Row],[Fecha]],'Plantilla AEG ES'!$E$1:$HX$13,8,FALSE)</f>
        <v>0</v>
      </c>
      <c r="AJ204" s="46">
        <f>HLOOKUP(TBL_CalcDarwin[[#This Row],[Fecha]],'Plantilla AEG ES'!$E$1:$HX$13,9,FALSE)</f>
        <v>3</v>
      </c>
      <c r="AK204" s="46">
        <f>HLOOKUP(TBL_CalcDarwin[[#This Row],[Fecha]],'Plantilla AEG ES'!$E$1:$HX$13,10,FALSE)</f>
        <v>12</v>
      </c>
      <c r="AL204" s="46">
        <f>HLOOKUP(TBL_CalcDarwin[[#This Row],[Fecha]],'Plantilla AEG ES'!$E$1:$HX$13,11,FALSE)</f>
        <v>1</v>
      </c>
      <c r="AM204" s="46">
        <f>HLOOKUP(TBL_CalcDarwin[[#This Row],[Fecha]],'Plantilla AEG ES'!$E$1:$HX$13,12,FALSE)</f>
        <v>7</v>
      </c>
      <c r="AN204" s="46">
        <f>HLOOKUP(TBL_CalcDarwin[[#This Row],[Fecha]],'Plantilla AEG ES'!$E$1:$HX$13,13,FALSE)</f>
        <v>1</v>
      </c>
      <c r="AO204" s="37">
        <f>TBL_CalcDarwin[[#This Row],[Lomitas - Barra A - 5.2 - Cerro]]+TBL_CalcDarwin[[#This Row],[Lomitas - Barra A - 5.2 - Medio]]+TBL_CalcDarwin[[#This Row],[Lomitas - Barra A - 5.2 - Mar]]</f>
        <v>23</v>
      </c>
      <c r="AP2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2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204" s="37">
        <f>TBL_CalcDarwin[[#This Row],[Expansión - Barra A - 5.2 - Cerro]]+TBL_CalcDarwin[[#This Row],[Expansión - Barra A - 5.2 - Medio]]+TBL_CalcDarwin[[#This Row],[Expansión - Barra A - 5.2 - Mar]]</f>
        <v>2</v>
      </c>
      <c r="AT204" s="37">
        <f>TBL_CalcDarwin[[#This Row],[Expansión - Barra B - 5.2 - Cerro]]</f>
        <v>1</v>
      </c>
      <c r="AU2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204" s="29">
        <f>TBL_CalcDarwin[[#This Row],[Expansión - Barra B - 5.2 - Cerro]]*TBL_CalcDarwin[[#This Row],[AEG 5.2 MW Cerro]]</f>
        <v>0.745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5">
        <f t="shared" si="19"/>
        <v>45592.458333332848</v>
      </c>
      <c r="C205" s="17">
        <f t="shared" si="20"/>
        <v>8.4583333333333481</v>
      </c>
      <c r="D205" s="34">
        <f>TBL_CalcDarwin[[#This Row],[Darwin PLOM
MW]]+TBL_CalcDarwin[[#This Row],[Darwin PLOME
MW]]</f>
        <v>116.11200000000001</v>
      </c>
      <c r="E205" s="34">
        <f>TBL_CalcDarwin[[#This Row],[PLOM MW TOTAL BARRA A]]+TBL_CalcDarwin[[#This Row],[PLOM MW TOTAL BARRA B]]</f>
        <v>112.54900000000001</v>
      </c>
      <c r="F205" s="34">
        <f>TBL_CalcDarwin[[#This Row],[PLOME MW TOTAL BARRA A]]+TBL_CalcDarwin[[#This Row],[PLOME MW TOTAL BARRA B]]</f>
        <v>3.5630000000000002</v>
      </c>
      <c r="G205" s="48">
        <f>'Plantilla Datos'!D210</f>
        <v>6.4</v>
      </c>
      <c r="H205" s="48">
        <f>'Plantilla Datos'!E210</f>
        <v>8.1</v>
      </c>
      <c r="I205" s="49">
        <f>'Plantilla Datos'!F210</f>
        <v>18.600000000000001</v>
      </c>
      <c r="J205" s="47">
        <f>CEILING('Plantilla Datos'!$L$3*TBL_CalcDarwin[[#This Row],[Darwin Gusts
m/s]],0.5)</f>
        <v>6</v>
      </c>
      <c r="K205" s="47">
        <f>CEILING('Plantilla Datos'!$L$4*TBL_CalcDarwin[[#This Row],[Darwin Gusts
m/s]],0.5)</f>
        <v>7</v>
      </c>
      <c r="L205" s="47">
        <f>CEILING(TBL_CalcDarwin[[#This Row],[Darwin Gusts
m/s]],0.5)</f>
        <v>8.5</v>
      </c>
      <c r="M2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2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05" s="41">
        <f>INDEX(Curva_Temp[Temp],MATCH(TBL_CalcDarwin[[#This Row],[Darwin Temp.
°C]],Curva_Temp[Temp]))</f>
        <v>15</v>
      </c>
      <c r="R205" s="41">
        <f>INDEX(Curva_Temp[Warranted Power Curve for 
1.194Kg/m3 air density '[kW']
SG 5.0-145 (AM+1, 5.2MW) AT 
90M],MATCH(TBL_CalcDarwin[[#This Row],[Darwin Temp.
°C]],Curva_Temp[Temp]))</f>
        <v>5200</v>
      </c>
      <c r="S205" s="41" cm="1">
        <f t="array" ref="S205">INDEX(Curva_Temp[Temp],MATCH(TBL_CalcDarwin[[#This Row],[Darwin Temp.
°C]],Curva_Temp[Temp])+1)</f>
        <v>20</v>
      </c>
      <c r="T205" s="41" cm="1">
        <f t="array" ref="T205">INDEX(Curva_Temp[Warranted Power Curve for 
1.194Kg/m3 air density '[kW']
SG 5.0-145 (AM+1, 5.2MW) AT 
90M],MATCH(TBL_CalcDarwin[[#This Row],[Darwin Temp.
°C]],Curva_Temp[Temp])+1)</f>
        <v>5000</v>
      </c>
      <c r="U2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05" s="41">
        <f>INDEX(Curva_Temp[Temp],MATCH(TBL_CalcDarwin[[#This Row],[Darwin Temp.
°C]],Curva_Temp[Temp]))</f>
        <v>15</v>
      </c>
      <c r="Z205" s="41">
        <f>INDEX(Curva_Temp[Warranted Power Curve for 
1.194Kg/m3 air density '[kW']
SG 5.0-145 (AM 0, 5.0MW) AT 
90M],MATCH(TBL_CalcDarwin[[#This Row],[Darwin Temp.
°C]],Curva_Temp[Temp]))</f>
        <v>5000</v>
      </c>
      <c r="AA205" s="41" cm="1">
        <f t="array" ref="AA205">INDEX(Curva_Temp[Temp],MATCH(TBL_CalcDarwin[[#This Row],[Darwin Temp.
°C]],Curva_Temp[Temp])+1)</f>
        <v>20</v>
      </c>
      <c r="AB205" s="41" cm="1">
        <f t="array" ref="AB205">INDEX(Curva_Temp[Warranted Power Curve for 
1.194Kg/m3 air density '[kW']
SG 5.0-145 (AM 0, 5.0MW) AT 
90M],MATCH(TBL_CalcDarwin[[#This Row],[Darwin Temp.
°C]],Curva_Temp[Temp])+1)</f>
        <v>5000</v>
      </c>
      <c r="AC205" s="45">
        <f>HLOOKUP(TBL_CalcDarwin[[#This Row],[Fecha]],'Plantilla AEG ES'!$E$1:$HX$13,2,FALSE)</f>
        <v>5</v>
      </c>
      <c r="AD205" s="45">
        <f>HLOOKUP(TBL_CalcDarwin[[#This Row],[Fecha]],'Plantilla AEG ES'!$E$1:$HX$13,3,FALSE)</f>
        <v>8</v>
      </c>
      <c r="AE205" s="45">
        <f>HLOOKUP(TBL_CalcDarwin[[#This Row],[Fecha]],'Plantilla AEG ES'!$E$1:$HX$13,4,FALSE)</f>
        <v>12</v>
      </c>
      <c r="AF205" s="45">
        <f>HLOOKUP(TBL_CalcDarwin[[#This Row],[Fecha]],'Plantilla AEG ES'!$E$1:$HX$13,5,FALSE)</f>
        <v>1</v>
      </c>
      <c r="AG205" s="45">
        <f>HLOOKUP(TBL_CalcDarwin[[#This Row],[Fecha]],'Plantilla AEG ES'!$E$1:$HX$13,6,FALSE)</f>
        <v>1</v>
      </c>
      <c r="AH205" s="45">
        <f>HLOOKUP(TBL_CalcDarwin[[#This Row],[Fecha]],'Plantilla AEG ES'!$E$1:$HX$13,7,FALSE)</f>
        <v>0</v>
      </c>
      <c r="AI205" s="46">
        <f>HLOOKUP(TBL_CalcDarwin[[#This Row],[Fecha]],'Plantilla AEG ES'!$E$1:$HX$13,8,FALSE)</f>
        <v>0</v>
      </c>
      <c r="AJ205" s="46">
        <f>HLOOKUP(TBL_CalcDarwin[[#This Row],[Fecha]],'Plantilla AEG ES'!$E$1:$HX$13,9,FALSE)</f>
        <v>3</v>
      </c>
      <c r="AK205" s="46">
        <f>HLOOKUP(TBL_CalcDarwin[[#This Row],[Fecha]],'Plantilla AEG ES'!$E$1:$HX$13,10,FALSE)</f>
        <v>12</v>
      </c>
      <c r="AL205" s="46">
        <f>HLOOKUP(TBL_CalcDarwin[[#This Row],[Fecha]],'Plantilla AEG ES'!$E$1:$HX$13,11,FALSE)</f>
        <v>1</v>
      </c>
      <c r="AM205" s="46">
        <f>HLOOKUP(TBL_CalcDarwin[[#This Row],[Fecha]],'Plantilla AEG ES'!$E$1:$HX$13,12,FALSE)</f>
        <v>7</v>
      </c>
      <c r="AN205" s="46">
        <f>HLOOKUP(TBL_CalcDarwin[[#This Row],[Fecha]],'Plantilla AEG ES'!$E$1:$HX$13,13,FALSE)</f>
        <v>1</v>
      </c>
      <c r="AO205" s="37">
        <f>TBL_CalcDarwin[[#This Row],[Lomitas - Barra A - 5.2 - Cerro]]+TBL_CalcDarwin[[#This Row],[Lomitas - Barra A - 5.2 - Medio]]+TBL_CalcDarwin[[#This Row],[Lomitas - Barra A - 5.2 - Mar]]</f>
        <v>25</v>
      </c>
      <c r="AP2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2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205" s="37">
        <f>TBL_CalcDarwin[[#This Row],[Expansión - Barra A - 5.2 - Cerro]]+TBL_CalcDarwin[[#This Row],[Expansión - Barra A - 5.2 - Medio]]+TBL_CalcDarwin[[#This Row],[Expansión - Barra A - 5.2 - Mar]]</f>
        <v>2</v>
      </c>
      <c r="AT205" s="37">
        <f>TBL_CalcDarwin[[#This Row],[Expansión - Barra B - 5.2 - Cerro]]</f>
        <v>1</v>
      </c>
      <c r="AU2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205" s="29">
        <f>TBL_CalcDarwin[[#This Row],[Expansión - Barra B - 5.2 - Cerro]]*TBL_CalcDarwin[[#This Row],[AEG 5.2 MW Cerro]]</f>
        <v>0.98299999999999998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5">
        <f t="shared" si="19"/>
        <v>45592.499999999513</v>
      </c>
      <c r="C206" s="17">
        <f t="shared" si="20"/>
        <v>8.5000000000000142</v>
      </c>
      <c r="D206" s="34">
        <f>TBL_CalcDarwin[[#This Row],[Darwin PLOM
MW]]+TBL_CalcDarwin[[#This Row],[Darwin PLOME
MW]]</f>
        <v>160.476</v>
      </c>
      <c r="E206" s="34">
        <f>TBL_CalcDarwin[[#This Row],[PLOM MW TOTAL BARRA A]]+TBL_CalcDarwin[[#This Row],[PLOM MW TOTAL BARRA B]]</f>
        <v>154.87299999999999</v>
      </c>
      <c r="F206" s="34">
        <f>TBL_CalcDarwin[[#This Row],[PLOME MW TOTAL BARRA A]]+TBL_CalcDarwin[[#This Row],[PLOME MW TOTAL BARRA B]]</f>
        <v>5.6029999999999998</v>
      </c>
      <c r="G206" s="48">
        <f>'Plantilla Datos'!D211</f>
        <v>7.2</v>
      </c>
      <c r="H206" s="48">
        <f>'Plantilla Datos'!E211</f>
        <v>9.1</v>
      </c>
      <c r="I206" s="49">
        <f>'Plantilla Datos'!F211</f>
        <v>19</v>
      </c>
      <c r="J206" s="47">
        <f>CEILING('Plantilla Datos'!$L$3*TBL_CalcDarwin[[#This Row],[Darwin Gusts
m/s]],0.5)</f>
        <v>7</v>
      </c>
      <c r="K206" s="47">
        <f>CEILING('Plantilla Datos'!$L$4*TBL_CalcDarwin[[#This Row],[Darwin Gusts
m/s]],0.5)</f>
        <v>8</v>
      </c>
      <c r="L206" s="47">
        <f>CEILING(TBL_CalcDarwin[[#This Row],[Darwin Gusts
m/s]],0.5)</f>
        <v>9.5</v>
      </c>
      <c r="M2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2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06" s="41">
        <f>INDEX(Curva_Temp[Temp],MATCH(TBL_CalcDarwin[[#This Row],[Darwin Temp.
°C]],Curva_Temp[Temp]))</f>
        <v>15</v>
      </c>
      <c r="R206" s="41">
        <f>INDEX(Curva_Temp[Warranted Power Curve for 
1.194Kg/m3 air density '[kW']
SG 5.0-145 (AM+1, 5.2MW) AT 
90M],MATCH(TBL_CalcDarwin[[#This Row],[Darwin Temp.
°C]],Curva_Temp[Temp]))</f>
        <v>5200</v>
      </c>
      <c r="S206" s="41" cm="1">
        <f t="array" ref="S206">INDEX(Curva_Temp[Temp],MATCH(TBL_CalcDarwin[[#This Row],[Darwin Temp.
°C]],Curva_Temp[Temp])+1)</f>
        <v>20</v>
      </c>
      <c r="T206" s="41" cm="1">
        <f t="array" ref="T206">INDEX(Curva_Temp[Warranted Power Curve for 
1.194Kg/m3 air density '[kW']
SG 5.0-145 (AM+1, 5.2MW) AT 
90M],MATCH(TBL_CalcDarwin[[#This Row],[Darwin Temp.
°C]],Curva_Temp[Temp])+1)</f>
        <v>5000</v>
      </c>
      <c r="U2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06" s="41">
        <f>INDEX(Curva_Temp[Temp],MATCH(TBL_CalcDarwin[[#This Row],[Darwin Temp.
°C]],Curva_Temp[Temp]))</f>
        <v>15</v>
      </c>
      <c r="Z206" s="41">
        <f>INDEX(Curva_Temp[Warranted Power Curve for 
1.194Kg/m3 air density '[kW']
SG 5.0-145 (AM 0, 5.0MW) AT 
90M],MATCH(TBL_CalcDarwin[[#This Row],[Darwin Temp.
°C]],Curva_Temp[Temp]))</f>
        <v>5000</v>
      </c>
      <c r="AA206" s="41" cm="1">
        <f t="array" ref="AA206">INDEX(Curva_Temp[Temp],MATCH(TBL_CalcDarwin[[#This Row],[Darwin Temp.
°C]],Curva_Temp[Temp])+1)</f>
        <v>20</v>
      </c>
      <c r="AB206" s="41" cm="1">
        <f t="array" ref="AB206">INDEX(Curva_Temp[Warranted Power Curve for 
1.194Kg/m3 air density '[kW']
SG 5.0-145 (AM 0, 5.0MW) AT 
90M],MATCH(TBL_CalcDarwin[[#This Row],[Darwin Temp.
°C]],Curva_Temp[Temp])+1)</f>
        <v>5000</v>
      </c>
      <c r="AC206" s="45">
        <f>HLOOKUP(TBL_CalcDarwin[[#This Row],[Fecha]],'Plantilla AEG ES'!$E$1:$HX$13,2,FALSE)</f>
        <v>5</v>
      </c>
      <c r="AD206" s="45">
        <f>HLOOKUP(TBL_CalcDarwin[[#This Row],[Fecha]],'Plantilla AEG ES'!$E$1:$HX$13,3,FALSE)</f>
        <v>8</v>
      </c>
      <c r="AE206" s="45">
        <f>HLOOKUP(TBL_CalcDarwin[[#This Row],[Fecha]],'Plantilla AEG ES'!$E$1:$HX$13,4,FALSE)</f>
        <v>12</v>
      </c>
      <c r="AF206" s="45">
        <f>HLOOKUP(TBL_CalcDarwin[[#This Row],[Fecha]],'Plantilla AEG ES'!$E$1:$HX$13,5,FALSE)</f>
        <v>1</v>
      </c>
      <c r="AG206" s="45">
        <f>HLOOKUP(TBL_CalcDarwin[[#This Row],[Fecha]],'Plantilla AEG ES'!$E$1:$HX$13,6,FALSE)</f>
        <v>1</v>
      </c>
      <c r="AH206" s="45">
        <f>HLOOKUP(TBL_CalcDarwin[[#This Row],[Fecha]],'Plantilla AEG ES'!$E$1:$HX$13,7,FALSE)</f>
        <v>0</v>
      </c>
      <c r="AI206" s="46">
        <f>HLOOKUP(TBL_CalcDarwin[[#This Row],[Fecha]],'Plantilla AEG ES'!$E$1:$HX$13,8,FALSE)</f>
        <v>0</v>
      </c>
      <c r="AJ206" s="46">
        <f>HLOOKUP(TBL_CalcDarwin[[#This Row],[Fecha]],'Plantilla AEG ES'!$E$1:$HX$13,9,FALSE)</f>
        <v>3</v>
      </c>
      <c r="AK206" s="46">
        <f>HLOOKUP(TBL_CalcDarwin[[#This Row],[Fecha]],'Plantilla AEG ES'!$E$1:$HX$13,10,FALSE)</f>
        <v>12</v>
      </c>
      <c r="AL206" s="46">
        <f>HLOOKUP(TBL_CalcDarwin[[#This Row],[Fecha]],'Plantilla AEG ES'!$E$1:$HX$13,11,FALSE)</f>
        <v>1</v>
      </c>
      <c r="AM206" s="46">
        <f>HLOOKUP(TBL_CalcDarwin[[#This Row],[Fecha]],'Plantilla AEG ES'!$E$1:$HX$13,12,FALSE)</f>
        <v>7</v>
      </c>
      <c r="AN206" s="46">
        <f>HLOOKUP(TBL_CalcDarwin[[#This Row],[Fecha]],'Plantilla AEG ES'!$E$1:$HX$13,13,FALSE)</f>
        <v>1</v>
      </c>
      <c r="AO206" s="37">
        <f>TBL_CalcDarwin[[#This Row],[Lomitas - Barra A - 5.2 - Cerro]]+TBL_CalcDarwin[[#This Row],[Lomitas - Barra A - 5.2 - Medio]]+TBL_CalcDarwin[[#This Row],[Lomitas - Barra A - 5.2 - Mar]]</f>
        <v>25</v>
      </c>
      <c r="AP2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2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206" s="37">
        <f>TBL_CalcDarwin[[#This Row],[Expansión - Barra A - 5.2 - Cerro]]+TBL_CalcDarwin[[#This Row],[Expansión - Barra A - 5.2 - Medio]]+TBL_CalcDarwin[[#This Row],[Expansión - Barra A - 5.2 - Mar]]</f>
        <v>2</v>
      </c>
      <c r="AT206" s="37">
        <f>TBL_CalcDarwin[[#This Row],[Expansión - Barra B - 5.2 - Cerro]]</f>
        <v>1</v>
      </c>
      <c r="AU2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206" s="29">
        <f>TBL_CalcDarwin[[#This Row],[Expansión - Barra B - 5.2 - Cerro]]*TBL_CalcDarwin[[#This Row],[AEG 5.2 MW Cerro]]</f>
        <v>1.597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5">
        <f t="shared" si="19"/>
        <v>45592.541666666177</v>
      </c>
      <c r="C207" s="17">
        <f t="shared" si="20"/>
        <v>8.5416666666666803</v>
      </c>
      <c r="D207" s="34">
        <f>TBL_CalcDarwin[[#This Row],[Darwin PLOM
MW]]+TBL_CalcDarwin[[#This Row],[Darwin PLOME
MW]]</f>
        <v>199.93799999999999</v>
      </c>
      <c r="E207" s="34">
        <f>TBL_CalcDarwin[[#This Row],[PLOM MW TOTAL BARRA A]]+TBL_CalcDarwin[[#This Row],[PLOM MW TOTAL BARRA B]]</f>
        <v>192.61599999999999</v>
      </c>
      <c r="F207" s="34">
        <f>TBL_CalcDarwin[[#This Row],[PLOME MW TOTAL BARRA A]]+TBL_CalcDarwin[[#This Row],[PLOME MW TOTAL BARRA B]]</f>
        <v>7.3220000000000001</v>
      </c>
      <c r="G207" s="48">
        <f>'Plantilla Datos'!D212</f>
        <v>8</v>
      </c>
      <c r="H207" s="48">
        <f>'Plantilla Datos'!E212</f>
        <v>10.1</v>
      </c>
      <c r="I207" s="49">
        <f>'Plantilla Datos'!F212</f>
        <v>19.399999999999999</v>
      </c>
      <c r="J207" s="47">
        <f>CEILING('Plantilla Datos'!$L$3*TBL_CalcDarwin[[#This Row],[Darwin Gusts
m/s]],0.5)</f>
        <v>7.5</v>
      </c>
      <c r="K207" s="47">
        <f>CEILING('Plantilla Datos'!$L$4*TBL_CalcDarwin[[#This Row],[Darwin Gusts
m/s]],0.5)</f>
        <v>9</v>
      </c>
      <c r="L207" s="47">
        <f>CEILING(TBL_CalcDarwin[[#This Row],[Darwin Gusts
m/s]],0.5)</f>
        <v>10.5</v>
      </c>
      <c r="M2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2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07" s="41">
        <f>INDEX(Curva_Temp[Temp],MATCH(TBL_CalcDarwin[[#This Row],[Darwin Temp.
°C]],Curva_Temp[Temp]))</f>
        <v>15</v>
      </c>
      <c r="R207" s="41">
        <f>INDEX(Curva_Temp[Warranted Power Curve for 
1.194Kg/m3 air density '[kW']
SG 5.0-145 (AM+1, 5.2MW) AT 
90M],MATCH(TBL_CalcDarwin[[#This Row],[Darwin Temp.
°C]],Curva_Temp[Temp]))</f>
        <v>5200</v>
      </c>
      <c r="S207" s="41" cm="1">
        <f t="array" ref="S207">INDEX(Curva_Temp[Temp],MATCH(TBL_CalcDarwin[[#This Row],[Darwin Temp.
°C]],Curva_Temp[Temp])+1)</f>
        <v>20</v>
      </c>
      <c r="T207" s="41" cm="1">
        <f t="array" ref="T207">INDEX(Curva_Temp[Warranted Power Curve for 
1.194Kg/m3 air density '[kW']
SG 5.0-145 (AM+1, 5.2MW) AT 
90M],MATCH(TBL_CalcDarwin[[#This Row],[Darwin Temp.
°C]],Curva_Temp[Temp])+1)</f>
        <v>5000</v>
      </c>
      <c r="U2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07" s="41">
        <f>INDEX(Curva_Temp[Temp],MATCH(TBL_CalcDarwin[[#This Row],[Darwin Temp.
°C]],Curva_Temp[Temp]))</f>
        <v>15</v>
      </c>
      <c r="Z207" s="41">
        <f>INDEX(Curva_Temp[Warranted Power Curve for 
1.194Kg/m3 air density '[kW']
SG 5.0-145 (AM 0, 5.0MW) AT 
90M],MATCH(TBL_CalcDarwin[[#This Row],[Darwin Temp.
°C]],Curva_Temp[Temp]))</f>
        <v>5000</v>
      </c>
      <c r="AA207" s="41" cm="1">
        <f t="array" ref="AA207">INDEX(Curva_Temp[Temp],MATCH(TBL_CalcDarwin[[#This Row],[Darwin Temp.
°C]],Curva_Temp[Temp])+1)</f>
        <v>20</v>
      </c>
      <c r="AB207" s="41" cm="1">
        <f t="array" ref="AB207">INDEX(Curva_Temp[Warranted Power Curve for 
1.194Kg/m3 air density '[kW']
SG 5.0-145 (AM 0, 5.0MW) AT 
90M],MATCH(TBL_CalcDarwin[[#This Row],[Darwin Temp.
°C]],Curva_Temp[Temp])+1)</f>
        <v>5000</v>
      </c>
      <c r="AC207" s="45">
        <f>HLOOKUP(TBL_CalcDarwin[[#This Row],[Fecha]],'Plantilla AEG ES'!$E$1:$HX$13,2,FALSE)</f>
        <v>5</v>
      </c>
      <c r="AD207" s="45">
        <f>HLOOKUP(TBL_CalcDarwin[[#This Row],[Fecha]],'Plantilla AEG ES'!$E$1:$HX$13,3,FALSE)</f>
        <v>8</v>
      </c>
      <c r="AE207" s="45">
        <f>HLOOKUP(TBL_CalcDarwin[[#This Row],[Fecha]],'Plantilla AEG ES'!$E$1:$HX$13,4,FALSE)</f>
        <v>12</v>
      </c>
      <c r="AF207" s="45">
        <f>HLOOKUP(TBL_CalcDarwin[[#This Row],[Fecha]],'Plantilla AEG ES'!$E$1:$HX$13,5,FALSE)</f>
        <v>1</v>
      </c>
      <c r="AG207" s="45">
        <f>HLOOKUP(TBL_CalcDarwin[[#This Row],[Fecha]],'Plantilla AEG ES'!$E$1:$HX$13,6,FALSE)</f>
        <v>1</v>
      </c>
      <c r="AH207" s="45">
        <f>HLOOKUP(TBL_CalcDarwin[[#This Row],[Fecha]],'Plantilla AEG ES'!$E$1:$HX$13,7,FALSE)</f>
        <v>0</v>
      </c>
      <c r="AI207" s="46">
        <f>HLOOKUP(TBL_CalcDarwin[[#This Row],[Fecha]],'Plantilla AEG ES'!$E$1:$HX$13,8,FALSE)</f>
        <v>0</v>
      </c>
      <c r="AJ207" s="46">
        <f>HLOOKUP(TBL_CalcDarwin[[#This Row],[Fecha]],'Plantilla AEG ES'!$E$1:$HX$13,9,FALSE)</f>
        <v>3</v>
      </c>
      <c r="AK207" s="46">
        <f>HLOOKUP(TBL_CalcDarwin[[#This Row],[Fecha]],'Plantilla AEG ES'!$E$1:$HX$13,10,FALSE)</f>
        <v>12</v>
      </c>
      <c r="AL207" s="46">
        <f>HLOOKUP(TBL_CalcDarwin[[#This Row],[Fecha]],'Plantilla AEG ES'!$E$1:$HX$13,11,FALSE)</f>
        <v>1</v>
      </c>
      <c r="AM207" s="46">
        <f>HLOOKUP(TBL_CalcDarwin[[#This Row],[Fecha]],'Plantilla AEG ES'!$E$1:$HX$13,12,FALSE)</f>
        <v>7</v>
      </c>
      <c r="AN207" s="46">
        <f>HLOOKUP(TBL_CalcDarwin[[#This Row],[Fecha]],'Plantilla AEG ES'!$E$1:$HX$13,13,FALSE)</f>
        <v>1</v>
      </c>
      <c r="AO207" s="37">
        <f>TBL_CalcDarwin[[#This Row],[Lomitas - Barra A - 5.2 - Cerro]]+TBL_CalcDarwin[[#This Row],[Lomitas - Barra A - 5.2 - Medio]]+TBL_CalcDarwin[[#This Row],[Lomitas - Barra A - 5.2 - Mar]]</f>
        <v>25</v>
      </c>
      <c r="AP2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2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207" s="37">
        <f>TBL_CalcDarwin[[#This Row],[Expansión - Barra A - 5.2 - Cerro]]+TBL_CalcDarwin[[#This Row],[Expansión - Barra A - 5.2 - Medio]]+TBL_CalcDarwin[[#This Row],[Expansión - Barra A - 5.2 - Mar]]</f>
        <v>2</v>
      </c>
      <c r="AT207" s="37">
        <f>TBL_CalcDarwin[[#This Row],[Expansión - Barra B - 5.2 - Cerro]]</f>
        <v>1</v>
      </c>
      <c r="AU2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207" s="29">
        <f>TBL_CalcDarwin[[#This Row],[Expansión - Barra B - 5.2 - Cerro]]*TBL_CalcDarwin[[#This Row],[AEG 5.2 MW Cerro]]</f>
        <v>1.978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5">
        <f t="shared" si="19"/>
        <v>45592.583333332841</v>
      </c>
      <c r="C208" s="17">
        <f t="shared" si="20"/>
        <v>8.5833333333333464</v>
      </c>
      <c r="D208" s="34">
        <f>TBL_CalcDarwin[[#This Row],[Darwin PLOM
MW]]+TBL_CalcDarwin[[#This Row],[Darwin PLOME
MW]]</f>
        <v>199.93799999999999</v>
      </c>
      <c r="E208" s="34">
        <f>TBL_CalcDarwin[[#This Row],[PLOM MW TOTAL BARRA A]]+TBL_CalcDarwin[[#This Row],[PLOM MW TOTAL BARRA B]]</f>
        <v>192.61599999999999</v>
      </c>
      <c r="F208" s="34">
        <f>TBL_CalcDarwin[[#This Row],[PLOME MW TOTAL BARRA A]]+TBL_CalcDarwin[[#This Row],[PLOME MW TOTAL BARRA B]]</f>
        <v>7.3220000000000001</v>
      </c>
      <c r="G208" s="48">
        <f>'Plantilla Datos'!D213</f>
        <v>8.1</v>
      </c>
      <c r="H208" s="48">
        <f>'Plantilla Datos'!E213</f>
        <v>10.199999999999999</v>
      </c>
      <c r="I208" s="49">
        <f>'Plantilla Datos'!F213</f>
        <v>18.899999999999999</v>
      </c>
      <c r="J208" s="47">
        <f>CEILING('Plantilla Datos'!$L$3*TBL_CalcDarwin[[#This Row],[Darwin Gusts
m/s]],0.5)</f>
        <v>7.5</v>
      </c>
      <c r="K208" s="47">
        <f>CEILING('Plantilla Datos'!$L$4*TBL_CalcDarwin[[#This Row],[Darwin Gusts
m/s]],0.5)</f>
        <v>9</v>
      </c>
      <c r="L208" s="47">
        <f>CEILING(TBL_CalcDarwin[[#This Row],[Darwin Gusts
m/s]],0.5)</f>
        <v>10.5</v>
      </c>
      <c r="M2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2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08" s="41">
        <f>INDEX(Curva_Temp[Temp],MATCH(TBL_CalcDarwin[[#This Row],[Darwin Temp.
°C]],Curva_Temp[Temp]))</f>
        <v>15</v>
      </c>
      <c r="R208" s="41">
        <f>INDEX(Curva_Temp[Warranted Power Curve for 
1.194Kg/m3 air density '[kW']
SG 5.0-145 (AM+1, 5.2MW) AT 
90M],MATCH(TBL_CalcDarwin[[#This Row],[Darwin Temp.
°C]],Curva_Temp[Temp]))</f>
        <v>5200</v>
      </c>
      <c r="S208" s="41" cm="1">
        <f t="array" ref="S208">INDEX(Curva_Temp[Temp],MATCH(TBL_CalcDarwin[[#This Row],[Darwin Temp.
°C]],Curva_Temp[Temp])+1)</f>
        <v>20</v>
      </c>
      <c r="T208" s="41" cm="1">
        <f t="array" ref="T208">INDEX(Curva_Temp[Warranted Power Curve for 
1.194Kg/m3 air density '[kW']
SG 5.0-145 (AM+1, 5.2MW) AT 
90M],MATCH(TBL_CalcDarwin[[#This Row],[Darwin Temp.
°C]],Curva_Temp[Temp])+1)</f>
        <v>5000</v>
      </c>
      <c r="U2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08" s="41">
        <f>INDEX(Curva_Temp[Temp],MATCH(TBL_CalcDarwin[[#This Row],[Darwin Temp.
°C]],Curva_Temp[Temp]))</f>
        <v>15</v>
      </c>
      <c r="Z208" s="41">
        <f>INDEX(Curva_Temp[Warranted Power Curve for 
1.194Kg/m3 air density '[kW']
SG 5.0-145 (AM 0, 5.0MW) AT 
90M],MATCH(TBL_CalcDarwin[[#This Row],[Darwin Temp.
°C]],Curva_Temp[Temp]))</f>
        <v>5000</v>
      </c>
      <c r="AA208" s="41" cm="1">
        <f t="array" ref="AA208">INDEX(Curva_Temp[Temp],MATCH(TBL_CalcDarwin[[#This Row],[Darwin Temp.
°C]],Curva_Temp[Temp])+1)</f>
        <v>20</v>
      </c>
      <c r="AB208" s="41" cm="1">
        <f t="array" ref="AB208">INDEX(Curva_Temp[Warranted Power Curve for 
1.194Kg/m3 air density '[kW']
SG 5.0-145 (AM 0, 5.0MW) AT 
90M],MATCH(TBL_CalcDarwin[[#This Row],[Darwin Temp.
°C]],Curva_Temp[Temp])+1)</f>
        <v>5000</v>
      </c>
      <c r="AC208" s="45">
        <f>HLOOKUP(TBL_CalcDarwin[[#This Row],[Fecha]],'Plantilla AEG ES'!$E$1:$HX$13,2,FALSE)</f>
        <v>5</v>
      </c>
      <c r="AD208" s="45">
        <f>HLOOKUP(TBL_CalcDarwin[[#This Row],[Fecha]],'Plantilla AEG ES'!$E$1:$HX$13,3,FALSE)</f>
        <v>8</v>
      </c>
      <c r="AE208" s="45">
        <f>HLOOKUP(TBL_CalcDarwin[[#This Row],[Fecha]],'Plantilla AEG ES'!$E$1:$HX$13,4,FALSE)</f>
        <v>12</v>
      </c>
      <c r="AF208" s="45">
        <f>HLOOKUP(TBL_CalcDarwin[[#This Row],[Fecha]],'Plantilla AEG ES'!$E$1:$HX$13,5,FALSE)</f>
        <v>1</v>
      </c>
      <c r="AG208" s="45">
        <f>HLOOKUP(TBL_CalcDarwin[[#This Row],[Fecha]],'Plantilla AEG ES'!$E$1:$HX$13,6,FALSE)</f>
        <v>1</v>
      </c>
      <c r="AH208" s="45">
        <f>HLOOKUP(TBL_CalcDarwin[[#This Row],[Fecha]],'Plantilla AEG ES'!$E$1:$HX$13,7,FALSE)</f>
        <v>0</v>
      </c>
      <c r="AI208" s="46">
        <f>HLOOKUP(TBL_CalcDarwin[[#This Row],[Fecha]],'Plantilla AEG ES'!$E$1:$HX$13,8,FALSE)</f>
        <v>0</v>
      </c>
      <c r="AJ208" s="46">
        <f>HLOOKUP(TBL_CalcDarwin[[#This Row],[Fecha]],'Plantilla AEG ES'!$E$1:$HX$13,9,FALSE)</f>
        <v>3</v>
      </c>
      <c r="AK208" s="46">
        <f>HLOOKUP(TBL_CalcDarwin[[#This Row],[Fecha]],'Plantilla AEG ES'!$E$1:$HX$13,10,FALSE)</f>
        <v>12</v>
      </c>
      <c r="AL208" s="46">
        <f>HLOOKUP(TBL_CalcDarwin[[#This Row],[Fecha]],'Plantilla AEG ES'!$E$1:$HX$13,11,FALSE)</f>
        <v>1</v>
      </c>
      <c r="AM208" s="46">
        <f>HLOOKUP(TBL_CalcDarwin[[#This Row],[Fecha]],'Plantilla AEG ES'!$E$1:$HX$13,12,FALSE)</f>
        <v>7</v>
      </c>
      <c r="AN208" s="46">
        <f>HLOOKUP(TBL_CalcDarwin[[#This Row],[Fecha]],'Plantilla AEG ES'!$E$1:$HX$13,13,FALSE)</f>
        <v>1</v>
      </c>
      <c r="AO208" s="37">
        <f>TBL_CalcDarwin[[#This Row],[Lomitas - Barra A - 5.2 - Cerro]]+TBL_CalcDarwin[[#This Row],[Lomitas - Barra A - 5.2 - Medio]]+TBL_CalcDarwin[[#This Row],[Lomitas - Barra A - 5.2 - Mar]]</f>
        <v>25</v>
      </c>
      <c r="AP2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2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208" s="37">
        <f>TBL_CalcDarwin[[#This Row],[Expansión - Barra A - 5.2 - Cerro]]+TBL_CalcDarwin[[#This Row],[Expansión - Barra A - 5.2 - Medio]]+TBL_CalcDarwin[[#This Row],[Expansión - Barra A - 5.2 - Mar]]</f>
        <v>2</v>
      </c>
      <c r="AT208" s="37">
        <f>TBL_CalcDarwin[[#This Row],[Expansión - Barra B - 5.2 - Cerro]]</f>
        <v>1</v>
      </c>
      <c r="AU2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208" s="29">
        <f>TBL_CalcDarwin[[#This Row],[Expansión - Barra B - 5.2 - Cerro]]*TBL_CalcDarwin[[#This Row],[AEG 5.2 MW Cerro]]</f>
        <v>1.978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5">
        <f t="shared" si="19"/>
        <v>45592.624999999505</v>
      </c>
      <c r="C209" s="17">
        <f t="shared" si="20"/>
        <v>8.6250000000000124</v>
      </c>
      <c r="D209" s="34">
        <f>TBL_CalcDarwin[[#This Row],[Darwin PLOM
MW]]+TBL_CalcDarwin[[#This Row],[Darwin PLOME
MW]]</f>
        <v>199.93799999999999</v>
      </c>
      <c r="E209" s="34">
        <f>TBL_CalcDarwin[[#This Row],[PLOM MW TOTAL BARRA A]]+TBL_CalcDarwin[[#This Row],[PLOM MW TOTAL BARRA B]]</f>
        <v>192.61599999999999</v>
      </c>
      <c r="F209" s="34">
        <f>TBL_CalcDarwin[[#This Row],[PLOME MW TOTAL BARRA A]]+TBL_CalcDarwin[[#This Row],[PLOME MW TOTAL BARRA B]]</f>
        <v>7.3220000000000001</v>
      </c>
      <c r="G209" s="48">
        <f>'Plantilla Datos'!D214</f>
        <v>8.1999999999999993</v>
      </c>
      <c r="H209" s="48">
        <f>'Plantilla Datos'!E214</f>
        <v>10.3</v>
      </c>
      <c r="I209" s="49">
        <f>'Plantilla Datos'!F214</f>
        <v>18.399999999999999</v>
      </c>
      <c r="J209" s="47">
        <f>CEILING('Plantilla Datos'!$L$3*TBL_CalcDarwin[[#This Row],[Darwin Gusts
m/s]],0.5)</f>
        <v>7.5</v>
      </c>
      <c r="K209" s="47">
        <f>CEILING('Plantilla Datos'!$L$4*TBL_CalcDarwin[[#This Row],[Darwin Gusts
m/s]],0.5)</f>
        <v>9</v>
      </c>
      <c r="L209" s="47">
        <f>CEILING(TBL_CalcDarwin[[#This Row],[Darwin Gusts
m/s]],0.5)</f>
        <v>10.5</v>
      </c>
      <c r="M2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2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09" s="41">
        <f>INDEX(Curva_Temp[Temp],MATCH(TBL_CalcDarwin[[#This Row],[Darwin Temp.
°C]],Curva_Temp[Temp]))</f>
        <v>15</v>
      </c>
      <c r="R209" s="41">
        <f>INDEX(Curva_Temp[Warranted Power Curve for 
1.194Kg/m3 air density '[kW']
SG 5.0-145 (AM+1, 5.2MW) AT 
90M],MATCH(TBL_CalcDarwin[[#This Row],[Darwin Temp.
°C]],Curva_Temp[Temp]))</f>
        <v>5200</v>
      </c>
      <c r="S209" s="41" cm="1">
        <f t="array" ref="S209">INDEX(Curva_Temp[Temp],MATCH(TBL_CalcDarwin[[#This Row],[Darwin Temp.
°C]],Curva_Temp[Temp])+1)</f>
        <v>20</v>
      </c>
      <c r="T209" s="41" cm="1">
        <f t="array" ref="T209">INDEX(Curva_Temp[Warranted Power Curve for 
1.194Kg/m3 air density '[kW']
SG 5.0-145 (AM+1, 5.2MW) AT 
90M],MATCH(TBL_CalcDarwin[[#This Row],[Darwin Temp.
°C]],Curva_Temp[Temp])+1)</f>
        <v>5000</v>
      </c>
      <c r="U2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09" s="41">
        <f>INDEX(Curva_Temp[Temp],MATCH(TBL_CalcDarwin[[#This Row],[Darwin Temp.
°C]],Curva_Temp[Temp]))</f>
        <v>15</v>
      </c>
      <c r="Z209" s="41">
        <f>INDEX(Curva_Temp[Warranted Power Curve for 
1.194Kg/m3 air density '[kW']
SG 5.0-145 (AM 0, 5.0MW) AT 
90M],MATCH(TBL_CalcDarwin[[#This Row],[Darwin Temp.
°C]],Curva_Temp[Temp]))</f>
        <v>5000</v>
      </c>
      <c r="AA209" s="41" cm="1">
        <f t="array" ref="AA209">INDEX(Curva_Temp[Temp],MATCH(TBL_CalcDarwin[[#This Row],[Darwin Temp.
°C]],Curva_Temp[Temp])+1)</f>
        <v>20</v>
      </c>
      <c r="AB209" s="41" cm="1">
        <f t="array" ref="AB209">INDEX(Curva_Temp[Warranted Power Curve for 
1.194Kg/m3 air density '[kW']
SG 5.0-145 (AM 0, 5.0MW) AT 
90M],MATCH(TBL_CalcDarwin[[#This Row],[Darwin Temp.
°C]],Curva_Temp[Temp])+1)</f>
        <v>5000</v>
      </c>
      <c r="AC209" s="45">
        <f>HLOOKUP(TBL_CalcDarwin[[#This Row],[Fecha]],'Plantilla AEG ES'!$E$1:$HX$13,2,FALSE)</f>
        <v>5</v>
      </c>
      <c r="AD209" s="45">
        <f>HLOOKUP(TBL_CalcDarwin[[#This Row],[Fecha]],'Plantilla AEG ES'!$E$1:$HX$13,3,FALSE)</f>
        <v>8</v>
      </c>
      <c r="AE209" s="45">
        <f>HLOOKUP(TBL_CalcDarwin[[#This Row],[Fecha]],'Plantilla AEG ES'!$E$1:$HX$13,4,FALSE)</f>
        <v>12</v>
      </c>
      <c r="AF209" s="45">
        <f>HLOOKUP(TBL_CalcDarwin[[#This Row],[Fecha]],'Plantilla AEG ES'!$E$1:$HX$13,5,FALSE)</f>
        <v>1</v>
      </c>
      <c r="AG209" s="45">
        <f>HLOOKUP(TBL_CalcDarwin[[#This Row],[Fecha]],'Plantilla AEG ES'!$E$1:$HX$13,6,FALSE)</f>
        <v>1</v>
      </c>
      <c r="AH209" s="45">
        <f>HLOOKUP(TBL_CalcDarwin[[#This Row],[Fecha]],'Plantilla AEG ES'!$E$1:$HX$13,7,FALSE)</f>
        <v>0</v>
      </c>
      <c r="AI209" s="46">
        <f>HLOOKUP(TBL_CalcDarwin[[#This Row],[Fecha]],'Plantilla AEG ES'!$E$1:$HX$13,8,FALSE)</f>
        <v>0</v>
      </c>
      <c r="AJ209" s="46">
        <f>HLOOKUP(TBL_CalcDarwin[[#This Row],[Fecha]],'Plantilla AEG ES'!$E$1:$HX$13,9,FALSE)</f>
        <v>3</v>
      </c>
      <c r="AK209" s="46">
        <f>HLOOKUP(TBL_CalcDarwin[[#This Row],[Fecha]],'Plantilla AEG ES'!$E$1:$HX$13,10,FALSE)</f>
        <v>12</v>
      </c>
      <c r="AL209" s="46">
        <f>HLOOKUP(TBL_CalcDarwin[[#This Row],[Fecha]],'Plantilla AEG ES'!$E$1:$HX$13,11,FALSE)</f>
        <v>1</v>
      </c>
      <c r="AM209" s="46">
        <f>HLOOKUP(TBL_CalcDarwin[[#This Row],[Fecha]],'Plantilla AEG ES'!$E$1:$HX$13,12,FALSE)</f>
        <v>7</v>
      </c>
      <c r="AN209" s="46">
        <f>HLOOKUP(TBL_CalcDarwin[[#This Row],[Fecha]],'Plantilla AEG ES'!$E$1:$HX$13,13,FALSE)</f>
        <v>1</v>
      </c>
      <c r="AO209" s="37">
        <f>TBL_CalcDarwin[[#This Row],[Lomitas - Barra A - 5.2 - Cerro]]+TBL_CalcDarwin[[#This Row],[Lomitas - Barra A - 5.2 - Medio]]+TBL_CalcDarwin[[#This Row],[Lomitas - Barra A - 5.2 - Mar]]</f>
        <v>25</v>
      </c>
      <c r="AP2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2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209" s="37">
        <f>TBL_CalcDarwin[[#This Row],[Expansión - Barra A - 5.2 - Cerro]]+TBL_CalcDarwin[[#This Row],[Expansión - Barra A - 5.2 - Medio]]+TBL_CalcDarwin[[#This Row],[Expansión - Barra A - 5.2 - Mar]]</f>
        <v>2</v>
      </c>
      <c r="AT209" s="37">
        <f>TBL_CalcDarwin[[#This Row],[Expansión - Barra B - 5.2 - Cerro]]</f>
        <v>1</v>
      </c>
      <c r="AU2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209" s="29">
        <f>TBL_CalcDarwin[[#This Row],[Expansión - Barra B - 5.2 - Cerro]]*TBL_CalcDarwin[[#This Row],[AEG 5.2 MW Cerro]]</f>
        <v>1.978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5">
        <f t="shared" si="19"/>
        <v>45592.666666666169</v>
      </c>
      <c r="C210" s="17">
        <f t="shared" si="20"/>
        <v>8.6666666666666785</v>
      </c>
      <c r="D210" s="34">
        <f>TBL_CalcDarwin[[#This Row],[Darwin PLOM
MW]]+TBL_CalcDarwin[[#This Row],[Darwin PLOME
MW]]</f>
        <v>203.38</v>
      </c>
      <c r="E210" s="34">
        <f>TBL_CalcDarwin[[#This Row],[PLOM MW TOTAL BARRA A]]+TBL_CalcDarwin[[#This Row],[PLOM MW TOTAL BARRA B]]</f>
        <v>195.196</v>
      </c>
      <c r="F210" s="34">
        <f>TBL_CalcDarwin[[#This Row],[PLOME MW TOTAL BARRA A]]+TBL_CalcDarwin[[#This Row],[PLOME MW TOTAL BARRA B]]</f>
        <v>8.1840000000000011</v>
      </c>
      <c r="G210" s="48">
        <f>'Plantilla Datos'!D215</f>
        <v>8.3000000000000007</v>
      </c>
      <c r="H210" s="48">
        <f>'Plantilla Datos'!E215</f>
        <v>10.4</v>
      </c>
      <c r="I210" s="49">
        <f>'Plantilla Datos'!F215</f>
        <v>18</v>
      </c>
      <c r="J210" s="47">
        <f>CEILING('Plantilla Datos'!$L$3*TBL_CalcDarwin[[#This Row],[Darwin Gusts
m/s]],0.5)</f>
        <v>8</v>
      </c>
      <c r="K210" s="47">
        <f>CEILING('Plantilla Datos'!$L$4*TBL_CalcDarwin[[#This Row],[Darwin Gusts
m/s]],0.5)</f>
        <v>9</v>
      </c>
      <c r="L210" s="47">
        <f>CEILING(TBL_CalcDarwin[[#This Row],[Darwin Gusts
m/s]],0.5)</f>
        <v>10.5</v>
      </c>
      <c r="M2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2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10" s="41">
        <f>INDEX(Curva_Temp[Temp],MATCH(TBL_CalcDarwin[[#This Row],[Darwin Temp.
°C]],Curva_Temp[Temp]))</f>
        <v>15</v>
      </c>
      <c r="R210" s="41">
        <f>INDEX(Curva_Temp[Warranted Power Curve for 
1.194Kg/m3 air density '[kW']
SG 5.0-145 (AM+1, 5.2MW) AT 
90M],MATCH(TBL_CalcDarwin[[#This Row],[Darwin Temp.
°C]],Curva_Temp[Temp]))</f>
        <v>5200</v>
      </c>
      <c r="S210" s="41" cm="1">
        <f t="array" ref="S210">INDEX(Curva_Temp[Temp],MATCH(TBL_CalcDarwin[[#This Row],[Darwin Temp.
°C]],Curva_Temp[Temp])+1)</f>
        <v>20</v>
      </c>
      <c r="T210" s="41" cm="1">
        <f t="array" ref="T210">INDEX(Curva_Temp[Warranted Power Curve for 
1.194Kg/m3 air density '[kW']
SG 5.0-145 (AM+1, 5.2MW) AT 
90M],MATCH(TBL_CalcDarwin[[#This Row],[Darwin Temp.
°C]],Curva_Temp[Temp])+1)</f>
        <v>5000</v>
      </c>
      <c r="U2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10" s="41">
        <f>INDEX(Curva_Temp[Temp],MATCH(TBL_CalcDarwin[[#This Row],[Darwin Temp.
°C]],Curva_Temp[Temp]))</f>
        <v>15</v>
      </c>
      <c r="Z210" s="41">
        <f>INDEX(Curva_Temp[Warranted Power Curve for 
1.194Kg/m3 air density '[kW']
SG 5.0-145 (AM 0, 5.0MW) AT 
90M],MATCH(TBL_CalcDarwin[[#This Row],[Darwin Temp.
°C]],Curva_Temp[Temp]))</f>
        <v>5000</v>
      </c>
      <c r="AA210" s="41" cm="1">
        <f t="array" ref="AA210">INDEX(Curva_Temp[Temp],MATCH(TBL_CalcDarwin[[#This Row],[Darwin Temp.
°C]],Curva_Temp[Temp])+1)</f>
        <v>20</v>
      </c>
      <c r="AB210" s="41" cm="1">
        <f t="array" ref="AB210">INDEX(Curva_Temp[Warranted Power Curve for 
1.194Kg/m3 air density '[kW']
SG 5.0-145 (AM 0, 5.0MW) AT 
90M],MATCH(TBL_CalcDarwin[[#This Row],[Darwin Temp.
°C]],Curva_Temp[Temp])+1)</f>
        <v>5000</v>
      </c>
      <c r="AC210" s="45">
        <f>HLOOKUP(TBL_CalcDarwin[[#This Row],[Fecha]],'Plantilla AEG ES'!$E$1:$HX$13,2,FALSE)</f>
        <v>5</v>
      </c>
      <c r="AD210" s="45">
        <f>HLOOKUP(TBL_CalcDarwin[[#This Row],[Fecha]],'Plantilla AEG ES'!$E$1:$HX$13,3,FALSE)</f>
        <v>8</v>
      </c>
      <c r="AE210" s="45">
        <f>HLOOKUP(TBL_CalcDarwin[[#This Row],[Fecha]],'Plantilla AEG ES'!$E$1:$HX$13,4,FALSE)</f>
        <v>12</v>
      </c>
      <c r="AF210" s="45">
        <f>HLOOKUP(TBL_CalcDarwin[[#This Row],[Fecha]],'Plantilla AEG ES'!$E$1:$HX$13,5,FALSE)</f>
        <v>1</v>
      </c>
      <c r="AG210" s="45">
        <f>HLOOKUP(TBL_CalcDarwin[[#This Row],[Fecha]],'Plantilla AEG ES'!$E$1:$HX$13,6,FALSE)</f>
        <v>1</v>
      </c>
      <c r="AH210" s="45">
        <f>HLOOKUP(TBL_CalcDarwin[[#This Row],[Fecha]],'Plantilla AEG ES'!$E$1:$HX$13,7,FALSE)</f>
        <v>0</v>
      </c>
      <c r="AI210" s="46">
        <f>HLOOKUP(TBL_CalcDarwin[[#This Row],[Fecha]],'Plantilla AEG ES'!$E$1:$HX$13,8,FALSE)</f>
        <v>0</v>
      </c>
      <c r="AJ210" s="46">
        <f>HLOOKUP(TBL_CalcDarwin[[#This Row],[Fecha]],'Plantilla AEG ES'!$E$1:$HX$13,9,FALSE)</f>
        <v>3</v>
      </c>
      <c r="AK210" s="46">
        <f>HLOOKUP(TBL_CalcDarwin[[#This Row],[Fecha]],'Plantilla AEG ES'!$E$1:$HX$13,10,FALSE)</f>
        <v>12</v>
      </c>
      <c r="AL210" s="46">
        <f>HLOOKUP(TBL_CalcDarwin[[#This Row],[Fecha]],'Plantilla AEG ES'!$E$1:$HX$13,11,FALSE)</f>
        <v>1</v>
      </c>
      <c r="AM210" s="46">
        <f>HLOOKUP(TBL_CalcDarwin[[#This Row],[Fecha]],'Plantilla AEG ES'!$E$1:$HX$13,12,FALSE)</f>
        <v>7</v>
      </c>
      <c r="AN210" s="46">
        <f>HLOOKUP(TBL_CalcDarwin[[#This Row],[Fecha]],'Plantilla AEG ES'!$E$1:$HX$13,13,FALSE)</f>
        <v>1</v>
      </c>
      <c r="AO210" s="37">
        <f>TBL_CalcDarwin[[#This Row],[Lomitas - Barra A - 5.2 - Cerro]]+TBL_CalcDarwin[[#This Row],[Lomitas - Barra A - 5.2 - Medio]]+TBL_CalcDarwin[[#This Row],[Lomitas - Barra A - 5.2 - Mar]]</f>
        <v>25</v>
      </c>
      <c r="AP2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2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210" s="37">
        <f>TBL_CalcDarwin[[#This Row],[Expansión - Barra A - 5.2 - Cerro]]+TBL_CalcDarwin[[#This Row],[Expansión - Barra A - 5.2 - Medio]]+TBL_CalcDarwin[[#This Row],[Expansión - Barra A - 5.2 - Mar]]</f>
        <v>2</v>
      </c>
      <c r="AT210" s="37">
        <f>TBL_CalcDarwin[[#This Row],[Expansión - Barra B - 5.2 - Cerro]]</f>
        <v>1</v>
      </c>
      <c r="AU2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210" s="29">
        <f>TBL_CalcDarwin[[#This Row],[Expansión - Barra B - 5.2 - Cerro]]*TBL_CalcDarwin[[#This Row],[AEG 5.2 MW Cerro]]</f>
        <v>2.4089999999999998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5">
        <f t="shared" si="19"/>
        <v>45592.708333332834</v>
      </c>
      <c r="C211" s="17">
        <f t="shared" si="20"/>
        <v>8.7083333333333446</v>
      </c>
      <c r="D211" s="34">
        <f>TBL_CalcDarwin[[#This Row],[Darwin PLOM
MW]]+TBL_CalcDarwin[[#This Row],[Darwin PLOME
MW]]</f>
        <v>203.38</v>
      </c>
      <c r="E211" s="34">
        <f>TBL_CalcDarwin[[#This Row],[PLOM MW TOTAL BARRA A]]+TBL_CalcDarwin[[#This Row],[PLOM MW TOTAL BARRA B]]</f>
        <v>195.196</v>
      </c>
      <c r="F211" s="34">
        <f>TBL_CalcDarwin[[#This Row],[PLOME MW TOTAL BARRA A]]+TBL_CalcDarwin[[#This Row],[PLOME MW TOTAL BARRA B]]</f>
        <v>8.1840000000000011</v>
      </c>
      <c r="G211" s="48">
        <f>'Plantilla Datos'!D216</f>
        <v>8.4</v>
      </c>
      <c r="H211" s="48">
        <f>'Plantilla Datos'!E216</f>
        <v>10.5</v>
      </c>
      <c r="I211" s="49">
        <f>'Plantilla Datos'!F216</f>
        <v>17.5</v>
      </c>
      <c r="J211" s="47">
        <f>CEILING('Plantilla Datos'!$L$3*TBL_CalcDarwin[[#This Row],[Darwin Gusts
m/s]],0.5)</f>
        <v>8</v>
      </c>
      <c r="K211" s="47">
        <f>CEILING('Plantilla Datos'!$L$4*TBL_CalcDarwin[[#This Row],[Darwin Gusts
m/s]],0.5)</f>
        <v>9</v>
      </c>
      <c r="L211" s="47">
        <f>CEILING(TBL_CalcDarwin[[#This Row],[Darwin Gusts
m/s]],0.5)</f>
        <v>10.5</v>
      </c>
      <c r="M2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2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11" s="41">
        <f>INDEX(Curva_Temp[Temp],MATCH(TBL_CalcDarwin[[#This Row],[Darwin Temp.
°C]],Curva_Temp[Temp]))</f>
        <v>15</v>
      </c>
      <c r="R211" s="41">
        <f>INDEX(Curva_Temp[Warranted Power Curve for 
1.194Kg/m3 air density '[kW']
SG 5.0-145 (AM+1, 5.2MW) AT 
90M],MATCH(TBL_CalcDarwin[[#This Row],[Darwin Temp.
°C]],Curva_Temp[Temp]))</f>
        <v>5200</v>
      </c>
      <c r="S211" s="41" cm="1">
        <f t="array" ref="S211">INDEX(Curva_Temp[Temp],MATCH(TBL_CalcDarwin[[#This Row],[Darwin Temp.
°C]],Curva_Temp[Temp])+1)</f>
        <v>20</v>
      </c>
      <c r="T211" s="41" cm="1">
        <f t="array" ref="T211">INDEX(Curva_Temp[Warranted Power Curve for 
1.194Kg/m3 air density '[kW']
SG 5.0-145 (AM+1, 5.2MW) AT 
90M],MATCH(TBL_CalcDarwin[[#This Row],[Darwin Temp.
°C]],Curva_Temp[Temp])+1)</f>
        <v>5000</v>
      </c>
      <c r="U2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11" s="41">
        <f>INDEX(Curva_Temp[Temp],MATCH(TBL_CalcDarwin[[#This Row],[Darwin Temp.
°C]],Curva_Temp[Temp]))</f>
        <v>15</v>
      </c>
      <c r="Z211" s="41">
        <f>INDEX(Curva_Temp[Warranted Power Curve for 
1.194Kg/m3 air density '[kW']
SG 5.0-145 (AM 0, 5.0MW) AT 
90M],MATCH(TBL_CalcDarwin[[#This Row],[Darwin Temp.
°C]],Curva_Temp[Temp]))</f>
        <v>5000</v>
      </c>
      <c r="AA211" s="41" cm="1">
        <f t="array" ref="AA211">INDEX(Curva_Temp[Temp],MATCH(TBL_CalcDarwin[[#This Row],[Darwin Temp.
°C]],Curva_Temp[Temp])+1)</f>
        <v>20</v>
      </c>
      <c r="AB211" s="41" cm="1">
        <f t="array" ref="AB211">INDEX(Curva_Temp[Warranted Power Curve for 
1.194Kg/m3 air density '[kW']
SG 5.0-145 (AM 0, 5.0MW) AT 
90M],MATCH(TBL_CalcDarwin[[#This Row],[Darwin Temp.
°C]],Curva_Temp[Temp])+1)</f>
        <v>5000</v>
      </c>
      <c r="AC211" s="45">
        <f>HLOOKUP(TBL_CalcDarwin[[#This Row],[Fecha]],'Plantilla AEG ES'!$E$1:$HX$13,2,FALSE)</f>
        <v>5</v>
      </c>
      <c r="AD211" s="45">
        <f>HLOOKUP(TBL_CalcDarwin[[#This Row],[Fecha]],'Plantilla AEG ES'!$E$1:$HX$13,3,FALSE)</f>
        <v>8</v>
      </c>
      <c r="AE211" s="45">
        <f>HLOOKUP(TBL_CalcDarwin[[#This Row],[Fecha]],'Plantilla AEG ES'!$E$1:$HX$13,4,FALSE)</f>
        <v>12</v>
      </c>
      <c r="AF211" s="45">
        <f>HLOOKUP(TBL_CalcDarwin[[#This Row],[Fecha]],'Plantilla AEG ES'!$E$1:$HX$13,5,FALSE)</f>
        <v>1</v>
      </c>
      <c r="AG211" s="45">
        <f>HLOOKUP(TBL_CalcDarwin[[#This Row],[Fecha]],'Plantilla AEG ES'!$E$1:$HX$13,6,FALSE)</f>
        <v>1</v>
      </c>
      <c r="AH211" s="45">
        <f>HLOOKUP(TBL_CalcDarwin[[#This Row],[Fecha]],'Plantilla AEG ES'!$E$1:$HX$13,7,FALSE)</f>
        <v>0</v>
      </c>
      <c r="AI211" s="46">
        <f>HLOOKUP(TBL_CalcDarwin[[#This Row],[Fecha]],'Plantilla AEG ES'!$E$1:$HX$13,8,FALSE)</f>
        <v>0</v>
      </c>
      <c r="AJ211" s="46">
        <f>HLOOKUP(TBL_CalcDarwin[[#This Row],[Fecha]],'Plantilla AEG ES'!$E$1:$HX$13,9,FALSE)</f>
        <v>3</v>
      </c>
      <c r="AK211" s="46">
        <f>HLOOKUP(TBL_CalcDarwin[[#This Row],[Fecha]],'Plantilla AEG ES'!$E$1:$HX$13,10,FALSE)</f>
        <v>12</v>
      </c>
      <c r="AL211" s="46">
        <f>HLOOKUP(TBL_CalcDarwin[[#This Row],[Fecha]],'Plantilla AEG ES'!$E$1:$HX$13,11,FALSE)</f>
        <v>1</v>
      </c>
      <c r="AM211" s="46">
        <f>HLOOKUP(TBL_CalcDarwin[[#This Row],[Fecha]],'Plantilla AEG ES'!$E$1:$HX$13,12,FALSE)</f>
        <v>7</v>
      </c>
      <c r="AN211" s="46">
        <f>HLOOKUP(TBL_CalcDarwin[[#This Row],[Fecha]],'Plantilla AEG ES'!$E$1:$HX$13,13,FALSE)</f>
        <v>1</v>
      </c>
      <c r="AO211" s="37">
        <f>TBL_CalcDarwin[[#This Row],[Lomitas - Barra A - 5.2 - Cerro]]+TBL_CalcDarwin[[#This Row],[Lomitas - Barra A - 5.2 - Medio]]+TBL_CalcDarwin[[#This Row],[Lomitas - Barra A - 5.2 - Mar]]</f>
        <v>25</v>
      </c>
      <c r="AP2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2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211" s="37">
        <f>TBL_CalcDarwin[[#This Row],[Expansión - Barra A - 5.2 - Cerro]]+TBL_CalcDarwin[[#This Row],[Expansión - Barra A - 5.2 - Medio]]+TBL_CalcDarwin[[#This Row],[Expansión - Barra A - 5.2 - Mar]]</f>
        <v>2</v>
      </c>
      <c r="AT211" s="37">
        <f>TBL_CalcDarwin[[#This Row],[Expansión - Barra B - 5.2 - Cerro]]</f>
        <v>1</v>
      </c>
      <c r="AU2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211" s="29">
        <f>TBL_CalcDarwin[[#This Row],[Expansión - Barra B - 5.2 - Cerro]]*TBL_CalcDarwin[[#This Row],[AEG 5.2 MW Cerro]]</f>
        <v>2.4089999999999998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5">
        <f t="shared" si="19"/>
        <v>45592.749999999498</v>
      </c>
      <c r="C212" s="17">
        <f t="shared" si="20"/>
        <v>8.7500000000000107</v>
      </c>
      <c r="D212" s="34">
        <f>TBL_CalcDarwin[[#This Row],[Darwin PLOM
MW]]+TBL_CalcDarwin[[#This Row],[Darwin PLOME
MW]]</f>
        <v>217.79000000000002</v>
      </c>
      <c r="E212" s="34">
        <f>TBL_CalcDarwin[[#This Row],[PLOM MW TOTAL BARRA A]]+TBL_CalcDarwin[[#This Row],[PLOM MW TOTAL BARRA B]]</f>
        <v>209.13000000000002</v>
      </c>
      <c r="F212" s="34">
        <f>TBL_CalcDarwin[[#This Row],[PLOME MW TOTAL BARRA A]]+TBL_CalcDarwin[[#This Row],[PLOME MW TOTAL BARRA B]]</f>
        <v>8.66</v>
      </c>
      <c r="G212" s="48">
        <f>'Plantilla Datos'!D217</f>
        <v>8.5</v>
      </c>
      <c r="H212" s="48">
        <f>'Plantilla Datos'!E217</f>
        <v>10.6</v>
      </c>
      <c r="I212" s="49">
        <f>'Plantilla Datos'!F217</f>
        <v>17</v>
      </c>
      <c r="J212" s="47">
        <f>CEILING('Plantilla Datos'!$L$3*TBL_CalcDarwin[[#This Row],[Darwin Gusts
m/s]],0.5)</f>
        <v>8</v>
      </c>
      <c r="K212" s="47">
        <f>CEILING('Plantilla Datos'!$L$4*TBL_CalcDarwin[[#This Row],[Darwin Gusts
m/s]],0.5)</f>
        <v>9.5</v>
      </c>
      <c r="L212" s="47">
        <f>CEILING(TBL_CalcDarwin[[#This Row],[Darwin Gusts
m/s]],0.5)</f>
        <v>11</v>
      </c>
      <c r="M2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2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212" s="41">
        <f>INDEX(Curva_Temp[Temp],MATCH(TBL_CalcDarwin[[#This Row],[Darwin Temp.
°C]],Curva_Temp[Temp]))</f>
        <v>15</v>
      </c>
      <c r="R212" s="41">
        <f>INDEX(Curva_Temp[Warranted Power Curve for 
1.194Kg/m3 air density '[kW']
SG 5.0-145 (AM+1, 5.2MW) AT 
90M],MATCH(TBL_CalcDarwin[[#This Row],[Darwin Temp.
°C]],Curva_Temp[Temp]))</f>
        <v>5200</v>
      </c>
      <c r="S212" s="41" cm="1">
        <f t="array" ref="S212">INDEX(Curva_Temp[Temp],MATCH(TBL_CalcDarwin[[#This Row],[Darwin Temp.
°C]],Curva_Temp[Temp])+1)</f>
        <v>20</v>
      </c>
      <c r="T212" s="41" cm="1">
        <f t="array" ref="T212">INDEX(Curva_Temp[Warranted Power Curve for 
1.194Kg/m3 air density '[kW']
SG 5.0-145 (AM+1, 5.2MW) AT 
90M],MATCH(TBL_CalcDarwin[[#This Row],[Darwin Temp.
°C]],Curva_Temp[Temp])+1)</f>
        <v>5000</v>
      </c>
      <c r="U2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12" s="41">
        <f>INDEX(Curva_Temp[Temp],MATCH(TBL_CalcDarwin[[#This Row],[Darwin Temp.
°C]],Curva_Temp[Temp]))</f>
        <v>15</v>
      </c>
      <c r="Z212" s="41">
        <f>INDEX(Curva_Temp[Warranted Power Curve for 
1.194Kg/m3 air density '[kW']
SG 5.0-145 (AM 0, 5.0MW) AT 
90M],MATCH(TBL_CalcDarwin[[#This Row],[Darwin Temp.
°C]],Curva_Temp[Temp]))</f>
        <v>5000</v>
      </c>
      <c r="AA212" s="41" cm="1">
        <f t="array" ref="AA212">INDEX(Curva_Temp[Temp],MATCH(TBL_CalcDarwin[[#This Row],[Darwin Temp.
°C]],Curva_Temp[Temp])+1)</f>
        <v>20</v>
      </c>
      <c r="AB212" s="41" cm="1">
        <f t="array" ref="AB212">INDEX(Curva_Temp[Warranted Power Curve for 
1.194Kg/m3 air density '[kW']
SG 5.0-145 (AM 0, 5.0MW) AT 
90M],MATCH(TBL_CalcDarwin[[#This Row],[Darwin Temp.
°C]],Curva_Temp[Temp])+1)</f>
        <v>5000</v>
      </c>
      <c r="AC212" s="45">
        <f>HLOOKUP(TBL_CalcDarwin[[#This Row],[Fecha]],'Plantilla AEG ES'!$E$1:$HX$13,2,FALSE)</f>
        <v>5</v>
      </c>
      <c r="AD212" s="45">
        <f>HLOOKUP(TBL_CalcDarwin[[#This Row],[Fecha]],'Plantilla AEG ES'!$E$1:$HX$13,3,FALSE)</f>
        <v>8</v>
      </c>
      <c r="AE212" s="45">
        <f>HLOOKUP(TBL_CalcDarwin[[#This Row],[Fecha]],'Plantilla AEG ES'!$E$1:$HX$13,4,FALSE)</f>
        <v>12</v>
      </c>
      <c r="AF212" s="45">
        <f>HLOOKUP(TBL_CalcDarwin[[#This Row],[Fecha]],'Plantilla AEG ES'!$E$1:$HX$13,5,FALSE)</f>
        <v>1</v>
      </c>
      <c r="AG212" s="45">
        <f>HLOOKUP(TBL_CalcDarwin[[#This Row],[Fecha]],'Plantilla AEG ES'!$E$1:$HX$13,6,FALSE)</f>
        <v>1</v>
      </c>
      <c r="AH212" s="45">
        <f>HLOOKUP(TBL_CalcDarwin[[#This Row],[Fecha]],'Plantilla AEG ES'!$E$1:$HX$13,7,FALSE)</f>
        <v>0</v>
      </c>
      <c r="AI212" s="46">
        <f>HLOOKUP(TBL_CalcDarwin[[#This Row],[Fecha]],'Plantilla AEG ES'!$E$1:$HX$13,8,FALSE)</f>
        <v>0</v>
      </c>
      <c r="AJ212" s="46">
        <f>HLOOKUP(TBL_CalcDarwin[[#This Row],[Fecha]],'Plantilla AEG ES'!$E$1:$HX$13,9,FALSE)</f>
        <v>3</v>
      </c>
      <c r="AK212" s="46">
        <f>HLOOKUP(TBL_CalcDarwin[[#This Row],[Fecha]],'Plantilla AEG ES'!$E$1:$HX$13,10,FALSE)</f>
        <v>12</v>
      </c>
      <c r="AL212" s="46">
        <f>HLOOKUP(TBL_CalcDarwin[[#This Row],[Fecha]],'Plantilla AEG ES'!$E$1:$HX$13,11,FALSE)</f>
        <v>1</v>
      </c>
      <c r="AM212" s="46">
        <f>HLOOKUP(TBL_CalcDarwin[[#This Row],[Fecha]],'Plantilla AEG ES'!$E$1:$HX$13,12,FALSE)</f>
        <v>7</v>
      </c>
      <c r="AN212" s="46">
        <f>HLOOKUP(TBL_CalcDarwin[[#This Row],[Fecha]],'Plantilla AEG ES'!$E$1:$HX$13,13,FALSE)</f>
        <v>1</v>
      </c>
      <c r="AO212" s="37">
        <f>TBL_CalcDarwin[[#This Row],[Lomitas - Barra A - 5.2 - Cerro]]+TBL_CalcDarwin[[#This Row],[Lomitas - Barra A - 5.2 - Medio]]+TBL_CalcDarwin[[#This Row],[Lomitas - Barra A - 5.2 - Mar]]</f>
        <v>25</v>
      </c>
      <c r="AP2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2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212" s="37">
        <f>TBL_CalcDarwin[[#This Row],[Expansión - Barra A - 5.2 - Cerro]]+TBL_CalcDarwin[[#This Row],[Expansión - Barra A - 5.2 - Medio]]+TBL_CalcDarwin[[#This Row],[Expansión - Barra A - 5.2 - Mar]]</f>
        <v>2</v>
      </c>
      <c r="AT212" s="37">
        <f>TBL_CalcDarwin[[#This Row],[Expansión - Barra B - 5.2 - Cerro]]</f>
        <v>1</v>
      </c>
      <c r="AU2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212" s="29">
        <f>TBL_CalcDarwin[[#This Row],[Expansión - Barra B - 5.2 - Cerro]]*TBL_CalcDarwin[[#This Row],[AEG 5.2 MW Cerro]]</f>
        <v>2.4089999999999998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5">
        <f t="shared" si="19"/>
        <v>45592.791666666162</v>
      </c>
      <c r="C213" s="17">
        <f t="shared" si="20"/>
        <v>8.7916666666666767</v>
      </c>
      <c r="D213" s="34">
        <f>TBL_CalcDarwin[[#This Row],[Darwin PLOM
MW]]+TBL_CalcDarwin[[#This Row],[Darwin PLOME
MW]]</f>
        <v>217.79000000000002</v>
      </c>
      <c r="E213" s="34">
        <f>TBL_CalcDarwin[[#This Row],[PLOM MW TOTAL BARRA A]]+TBL_CalcDarwin[[#This Row],[PLOM MW TOTAL BARRA B]]</f>
        <v>209.13000000000002</v>
      </c>
      <c r="F213" s="34">
        <f>TBL_CalcDarwin[[#This Row],[PLOME MW TOTAL BARRA A]]+TBL_CalcDarwin[[#This Row],[PLOME MW TOTAL BARRA B]]</f>
        <v>8.66</v>
      </c>
      <c r="G213" s="48">
        <f>'Plantilla Datos'!D218</f>
        <v>8.5</v>
      </c>
      <c r="H213" s="48">
        <f>'Plantilla Datos'!E218</f>
        <v>10.7</v>
      </c>
      <c r="I213" s="49">
        <f>'Plantilla Datos'!F218</f>
        <v>16.3</v>
      </c>
      <c r="J213" s="47">
        <f>CEILING('Plantilla Datos'!$L$3*TBL_CalcDarwin[[#This Row],[Darwin Gusts
m/s]],0.5)</f>
        <v>8</v>
      </c>
      <c r="K213" s="47">
        <f>CEILING('Plantilla Datos'!$L$4*TBL_CalcDarwin[[#This Row],[Darwin Gusts
m/s]],0.5)</f>
        <v>9.5</v>
      </c>
      <c r="L213" s="47">
        <f>CEILING(TBL_CalcDarwin[[#This Row],[Darwin Gusts
m/s]],0.5)</f>
        <v>11</v>
      </c>
      <c r="M2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2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213" s="41">
        <f>INDEX(Curva_Temp[Temp],MATCH(TBL_CalcDarwin[[#This Row],[Darwin Temp.
°C]],Curva_Temp[Temp]))</f>
        <v>15</v>
      </c>
      <c r="R213" s="41">
        <f>INDEX(Curva_Temp[Warranted Power Curve for 
1.194Kg/m3 air density '[kW']
SG 5.0-145 (AM+1, 5.2MW) AT 
90M],MATCH(TBL_CalcDarwin[[#This Row],[Darwin Temp.
°C]],Curva_Temp[Temp]))</f>
        <v>5200</v>
      </c>
      <c r="S213" s="41" cm="1">
        <f t="array" ref="S213">INDEX(Curva_Temp[Temp],MATCH(TBL_CalcDarwin[[#This Row],[Darwin Temp.
°C]],Curva_Temp[Temp])+1)</f>
        <v>20</v>
      </c>
      <c r="T213" s="41" cm="1">
        <f t="array" ref="T213">INDEX(Curva_Temp[Warranted Power Curve for 
1.194Kg/m3 air density '[kW']
SG 5.0-145 (AM+1, 5.2MW) AT 
90M],MATCH(TBL_CalcDarwin[[#This Row],[Darwin Temp.
°C]],Curva_Temp[Temp])+1)</f>
        <v>5000</v>
      </c>
      <c r="U2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13" s="41">
        <f>INDEX(Curva_Temp[Temp],MATCH(TBL_CalcDarwin[[#This Row],[Darwin Temp.
°C]],Curva_Temp[Temp]))</f>
        <v>15</v>
      </c>
      <c r="Z213" s="41">
        <f>INDEX(Curva_Temp[Warranted Power Curve for 
1.194Kg/m3 air density '[kW']
SG 5.0-145 (AM 0, 5.0MW) AT 
90M],MATCH(TBL_CalcDarwin[[#This Row],[Darwin Temp.
°C]],Curva_Temp[Temp]))</f>
        <v>5000</v>
      </c>
      <c r="AA213" s="41" cm="1">
        <f t="array" ref="AA213">INDEX(Curva_Temp[Temp],MATCH(TBL_CalcDarwin[[#This Row],[Darwin Temp.
°C]],Curva_Temp[Temp])+1)</f>
        <v>20</v>
      </c>
      <c r="AB213" s="41" cm="1">
        <f t="array" ref="AB213">INDEX(Curva_Temp[Warranted Power Curve for 
1.194Kg/m3 air density '[kW']
SG 5.0-145 (AM 0, 5.0MW) AT 
90M],MATCH(TBL_CalcDarwin[[#This Row],[Darwin Temp.
°C]],Curva_Temp[Temp])+1)</f>
        <v>5000</v>
      </c>
      <c r="AC213" s="45">
        <f>HLOOKUP(TBL_CalcDarwin[[#This Row],[Fecha]],'Plantilla AEG ES'!$E$1:$HX$13,2,FALSE)</f>
        <v>5</v>
      </c>
      <c r="AD213" s="45">
        <f>HLOOKUP(TBL_CalcDarwin[[#This Row],[Fecha]],'Plantilla AEG ES'!$E$1:$HX$13,3,FALSE)</f>
        <v>8</v>
      </c>
      <c r="AE213" s="45">
        <f>HLOOKUP(TBL_CalcDarwin[[#This Row],[Fecha]],'Plantilla AEG ES'!$E$1:$HX$13,4,FALSE)</f>
        <v>12</v>
      </c>
      <c r="AF213" s="45">
        <f>HLOOKUP(TBL_CalcDarwin[[#This Row],[Fecha]],'Plantilla AEG ES'!$E$1:$HX$13,5,FALSE)</f>
        <v>1</v>
      </c>
      <c r="AG213" s="45">
        <f>HLOOKUP(TBL_CalcDarwin[[#This Row],[Fecha]],'Plantilla AEG ES'!$E$1:$HX$13,6,FALSE)</f>
        <v>1</v>
      </c>
      <c r="AH213" s="45">
        <f>HLOOKUP(TBL_CalcDarwin[[#This Row],[Fecha]],'Plantilla AEG ES'!$E$1:$HX$13,7,FALSE)</f>
        <v>0</v>
      </c>
      <c r="AI213" s="46">
        <f>HLOOKUP(TBL_CalcDarwin[[#This Row],[Fecha]],'Plantilla AEG ES'!$E$1:$HX$13,8,FALSE)</f>
        <v>0</v>
      </c>
      <c r="AJ213" s="46">
        <f>HLOOKUP(TBL_CalcDarwin[[#This Row],[Fecha]],'Plantilla AEG ES'!$E$1:$HX$13,9,FALSE)</f>
        <v>3</v>
      </c>
      <c r="AK213" s="46">
        <f>HLOOKUP(TBL_CalcDarwin[[#This Row],[Fecha]],'Plantilla AEG ES'!$E$1:$HX$13,10,FALSE)</f>
        <v>12</v>
      </c>
      <c r="AL213" s="46">
        <f>HLOOKUP(TBL_CalcDarwin[[#This Row],[Fecha]],'Plantilla AEG ES'!$E$1:$HX$13,11,FALSE)</f>
        <v>1</v>
      </c>
      <c r="AM213" s="46">
        <f>HLOOKUP(TBL_CalcDarwin[[#This Row],[Fecha]],'Plantilla AEG ES'!$E$1:$HX$13,12,FALSE)</f>
        <v>7</v>
      </c>
      <c r="AN213" s="46">
        <f>HLOOKUP(TBL_CalcDarwin[[#This Row],[Fecha]],'Plantilla AEG ES'!$E$1:$HX$13,13,FALSE)</f>
        <v>1</v>
      </c>
      <c r="AO213" s="37">
        <f>TBL_CalcDarwin[[#This Row],[Lomitas - Barra A - 5.2 - Cerro]]+TBL_CalcDarwin[[#This Row],[Lomitas - Barra A - 5.2 - Medio]]+TBL_CalcDarwin[[#This Row],[Lomitas - Barra A - 5.2 - Mar]]</f>
        <v>25</v>
      </c>
      <c r="AP2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2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213" s="37">
        <f>TBL_CalcDarwin[[#This Row],[Expansión - Barra A - 5.2 - Cerro]]+TBL_CalcDarwin[[#This Row],[Expansión - Barra A - 5.2 - Medio]]+TBL_CalcDarwin[[#This Row],[Expansión - Barra A - 5.2 - Mar]]</f>
        <v>2</v>
      </c>
      <c r="AT213" s="37">
        <f>TBL_CalcDarwin[[#This Row],[Expansión - Barra B - 5.2 - Cerro]]</f>
        <v>1</v>
      </c>
      <c r="AU2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213" s="29">
        <f>TBL_CalcDarwin[[#This Row],[Expansión - Barra B - 5.2 - Cerro]]*TBL_CalcDarwin[[#This Row],[AEG 5.2 MW Cerro]]</f>
        <v>2.4089999999999998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5">
        <f t="shared" si="19"/>
        <v>45592.833333332826</v>
      </c>
      <c r="C214" s="17">
        <f t="shared" si="20"/>
        <v>8.8333333333333428</v>
      </c>
      <c r="D214" s="34" t="e">
        <f>TBL_CalcDarwin[[#This Row],[Darwin PLOM
MW]]+TBL_CalcDarwin[[#This Row],[Darwin PLOME
MW]]</f>
        <v>#N/A</v>
      </c>
      <c r="E214" s="34" t="e">
        <f>TBL_CalcDarwin[[#This Row],[PLOM MW TOTAL BARRA A]]+TBL_CalcDarwin[[#This Row],[PLOM MW TOTAL BARRA B]]</f>
        <v>#N/A</v>
      </c>
      <c r="F214" s="34" t="e">
        <f>TBL_CalcDarwin[[#This Row],[PLOME MW TOTAL BARRA A]]+TBL_CalcDarwin[[#This Row],[PLOME MW TOTAL BARRA B]]</f>
        <v>#N/A</v>
      </c>
      <c r="G214" s="48">
        <f>'Plantilla Datos'!D219</f>
        <v>0</v>
      </c>
      <c r="H214" s="48">
        <f>'Plantilla Datos'!E219</f>
        <v>0</v>
      </c>
      <c r="I214" s="49">
        <f>'Plantilla Datos'!F219</f>
        <v>0</v>
      </c>
      <c r="J214" s="47">
        <f>CEILING('Plantilla Datos'!$L$3*TBL_CalcDarwin[[#This Row],[Darwin Gusts
m/s]],0.5)</f>
        <v>0</v>
      </c>
      <c r="K214" s="47">
        <f>CEILING('Plantilla Datos'!$L$4*TBL_CalcDarwin[[#This Row],[Darwin Gusts
m/s]],0.5)</f>
        <v>0</v>
      </c>
      <c r="L214" s="47">
        <f>CEILING(TBL_CalcDarwin[[#This Row],[Darwin Gusts
m/s]],0.5)</f>
        <v>0</v>
      </c>
      <c r="M21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4" s="41" t="e">
        <f>INDEX(Curva_Temp[Temp],MATCH(TBL_CalcDarwin[[#This Row],[Darwin Temp.
°C]],Curva_Temp[Temp]))</f>
        <v>#N/A</v>
      </c>
      <c r="R214" s="41" t="e">
        <f>INDEX(Curva_Temp[Warranted Power Curve for 
1.194Kg/m3 air density '[kW']
SG 5.0-145 (AM+1, 5.2MW) AT 
90M],MATCH(TBL_CalcDarwin[[#This Row],[Darwin Temp.
°C]],Curva_Temp[Temp]))</f>
        <v>#N/A</v>
      </c>
      <c r="S214" s="41" t="e" cm="1">
        <f t="array" ref="S214">INDEX(Curva_Temp[Temp],MATCH(TBL_CalcDarwin[[#This Row],[Darwin Temp.
°C]],Curva_Temp[Temp])+1)</f>
        <v>#N/A</v>
      </c>
      <c r="T214" s="41" t="e" cm="1">
        <f t="array" ref="T214">INDEX(Curva_Temp[Warranted Power Curve for 
1.194Kg/m3 air density '[kW']
SG 5.0-145 (AM+1, 5.2MW) AT 
90M],MATCH(TBL_CalcDarwin[[#This Row],[Darwin Temp.
°C]],Curva_Temp[Temp])+1)</f>
        <v>#N/A</v>
      </c>
      <c r="U21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4" s="41" t="e">
        <f>INDEX(Curva_Temp[Temp],MATCH(TBL_CalcDarwin[[#This Row],[Darwin Temp.
°C]],Curva_Temp[Temp]))</f>
        <v>#N/A</v>
      </c>
      <c r="Z214" s="41" t="e">
        <f>INDEX(Curva_Temp[Warranted Power Curve for 
1.194Kg/m3 air density '[kW']
SG 5.0-145 (AM 0, 5.0MW) AT 
90M],MATCH(TBL_CalcDarwin[[#This Row],[Darwin Temp.
°C]],Curva_Temp[Temp]))</f>
        <v>#N/A</v>
      </c>
      <c r="AA214" s="41" t="e" cm="1">
        <f t="array" ref="AA214">INDEX(Curva_Temp[Temp],MATCH(TBL_CalcDarwin[[#This Row],[Darwin Temp.
°C]],Curva_Temp[Temp])+1)</f>
        <v>#N/A</v>
      </c>
      <c r="AB214" s="41" t="e" cm="1">
        <f t="array" ref="AB214">INDEX(Curva_Temp[Warranted Power Curve for 
1.194Kg/m3 air density '[kW']
SG 5.0-145 (AM 0, 5.0MW) AT 
90M],MATCH(TBL_CalcDarwin[[#This Row],[Darwin Temp.
°C]],Curva_Temp[Temp])+1)</f>
        <v>#N/A</v>
      </c>
      <c r="AC214" s="45">
        <f>HLOOKUP(TBL_CalcDarwin[[#This Row],[Fecha]],'Plantilla AEG ES'!$E$1:$HX$13,2,FALSE)</f>
        <v>5</v>
      </c>
      <c r="AD214" s="45">
        <f>HLOOKUP(TBL_CalcDarwin[[#This Row],[Fecha]],'Plantilla AEG ES'!$E$1:$HX$13,3,FALSE)</f>
        <v>8</v>
      </c>
      <c r="AE214" s="45">
        <f>HLOOKUP(TBL_CalcDarwin[[#This Row],[Fecha]],'Plantilla AEG ES'!$E$1:$HX$13,4,FALSE)</f>
        <v>12</v>
      </c>
      <c r="AF214" s="45">
        <f>HLOOKUP(TBL_CalcDarwin[[#This Row],[Fecha]],'Plantilla AEG ES'!$E$1:$HX$13,5,FALSE)</f>
        <v>1</v>
      </c>
      <c r="AG214" s="45">
        <f>HLOOKUP(TBL_CalcDarwin[[#This Row],[Fecha]],'Plantilla AEG ES'!$E$1:$HX$13,6,FALSE)</f>
        <v>1</v>
      </c>
      <c r="AH214" s="45">
        <f>HLOOKUP(TBL_CalcDarwin[[#This Row],[Fecha]],'Plantilla AEG ES'!$E$1:$HX$13,7,FALSE)</f>
        <v>0</v>
      </c>
      <c r="AI214" s="46">
        <f>HLOOKUP(TBL_CalcDarwin[[#This Row],[Fecha]],'Plantilla AEG ES'!$E$1:$HX$13,8,FALSE)</f>
        <v>0</v>
      </c>
      <c r="AJ214" s="46">
        <f>HLOOKUP(TBL_CalcDarwin[[#This Row],[Fecha]],'Plantilla AEG ES'!$E$1:$HX$13,9,FALSE)</f>
        <v>3</v>
      </c>
      <c r="AK214" s="46">
        <f>HLOOKUP(TBL_CalcDarwin[[#This Row],[Fecha]],'Plantilla AEG ES'!$E$1:$HX$13,10,FALSE)</f>
        <v>12</v>
      </c>
      <c r="AL214" s="46">
        <f>HLOOKUP(TBL_CalcDarwin[[#This Row],[Fecha]],'Plantilla AEG ES'!$E$1:$HX$13,11,FALSE)</f>
        <v>1</v>
      </c>
      <c r="AM214" s="46">
        <f>HLOOKUP(TBL_CalcDarwin[[#This Row],[Fecha]],'Plantilla AEG ES'!$E$1:$HX$13,12,FALSE)</f>
        <v>7</v>
      </c>
      <c r="AN214" s="46">
        <f>HLOOKUP(TBL_CalcDarwin[[#This Row],[Fecha]],'Plantilla AEG ES'!$E$1:$HX$13,13,FALSE)</f>
        <v>1</v>
      </c>
      <c r="AO214" s="37">
        <f>TBL_CalcDarwin[[#This Row],[Lomitas - Barra A - 5.2 - Cerro]]+TBL_CalcDarwin[[#This Row],[Lomitas - Barra A - 5.2 - Medio]]+TBL_CalcDarwin[[#This Row],[Lomitas - Barra A - 5.2 - Mar]]</f>
        <v>25</v>
      </c>
      <c r="AP2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4" s="37">
        <f>TBL_CalcDarwin[[#This Row],[Expansión - Barra A - 5.2 - Cerro]]+TBL_CalcDarwin[[#This Row],[Expansión - Barra A - 5.2 - Medio]]+TBL_CalcDarwin[[#This Row],[Expansión - Barra A - 5.2 - Mar]]</f>
        <v>2</v>
      </c>
      <c r="AT214" s="37">
        <f>TBL_CalcDarwin[[#This Row],[Expansión - Barra B - 5.2 - Cerro]]</f>
        <v>1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4" s="29" t="e">
        <f>TBL_CalcDarwin[[#This Row],[Expansión - Barra B - 5.2 - Cerro]]*TBL_CalcDarwin[[#This Row],[AEG 5.2 MW Cerro]]</f>
        <v>#N/A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5">
        <f t="shared" si="19"/>
        <v>45592.874999999491</v>
      </c>
      <c r="C215" s="17">
        <f>C214+TIME(1,0,0)</f>
        <v>8.8750000000000089</v>
      </c>
      <c r="D215" s="34" t="e">
        <f>TBL_CalcDarwin[[#This Row],[Darwin PLOM
MW]]+TBL_CalcDarwin[[#This Row],[Darwin PLOME
MW]]</f>
        <v>#N/A</v>
      </c>
      <c r="E215" s="34" t="e">
        <f>TBL_CalcDarwin[[#This Row],[PLOM MW TOTAL BARRA A]]+TBL_CalcDarwin[[#This Row],[PLOM MW TOTAL BARRA B]]</f>
        <v>#N/A</v>
      </c>
      <c r="F215" s="34" t="e">
        <f>TBL_CalcDarwin[[#This Row],[PLOME MW TOTAL BARRA A]]+TBL_CalcDarwin[[#This Row],[PLOME MW TOTAL BARRA B]]</f>
        <v>#N/A</v>
      </c>
      <c r="G215" s="48">
        <f>'Plantilla Datos'!D220</f>
        <v>0</v>
      </c>
      <c r="H215" s="48">
        <f>'Plantilla Datos'!E220</f>
        <v>0</v>
      </c>
      <c r="I215" s="49">
        <f>'Plantilla Datos'!F220</f>
        <v>0</v>
      </c>
      <c r="J215" s="47">
        <f>CEILING('Plantilla Datos'!$L$3*TBL_CalcDarwin[[#This Row],[Darwin Gusts
m/s]],0.5)</f>
        <v>0</v>
      </c>
      <c r="K215" s="47">
        <f>CEILING('Plantilla Datos'!$L$4*TBL_CalcDarwin[[#This Row],[Darwin Gusts
m/s]],0.5)</f>
        <v>0</v>
      </c>
      <c r="L215" s="47">
        <f>CEILING(TBL_CalcDarwin[[#This Row],[Darwin Gusts
m/s]],0.5)</f>
        <v>0</v>
      </c>
      <c r="M21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5" s="41" t="e">
        <f>INDEX(Curva_Temp[Temp],MATCH(TBL_CalcDarwin[[#This Row],[Darwin Temp.
°C]],Curva_Temp[Temp]))</f>
        <v>#N/A</v>
      </c>
      <c r="R215" s="41" t="e">
        <f>INDEX(Curva_Temp[Warranted Power Curve for 
1.194Kg/m3 air density '[kW']
SG 5.0-145 (AM+1, 5.2MW) AT 
90M],MATCH(TBL_CalcDarwin[[#This Row],[Darwin Temp.
°C]],Curva_Temp[Temp]))</f>
        <v>#N/A</v>
      </c>
      <c r="S215" s="41" t="e" cm="1">
        <f t="array" ref="S215">INDEX(Curva_Temp[Temp],MATCH(TBL_CalcDarwin[[#This Row],[Darwin Temp.
°C]],Curva_Temp[Temp])+1)</f>
        <v>#N/A</v>
      </c>
      <c r="T215" s="41" t="e" cm="1">
        <f t="array" ref="T215">INDEX(Curva_Temp[Warranted Power Curve for 
1.194Kg/m3 air density '[kW']
SG 5.0-145 (AM+1, 5.2MW) AT 
90M],MATCH(TBL_CalcDarwin[[#This Row],[Darwin Temp.
°C]],Curva_Temp[Temp])+1)</f>
        <v>#N/A</v>
      </c>
      <c r="U21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5" s="41" t="e">
        <f>INDEX(Curva_Temp[Temp],MATCH(TBL_CalcDarwin[[#This Row],[Darwin Temp.
°C]],Curva_Temp[Temp]))</f>
        <v>#N/A</v>
      </c>
      <c r="Z215" s="41" t="e">
        <f>INDEX(Curva_Temp[Warranted Power Curve for 
1.194Kg/m3 air density '[kW']
SG 5.0-145 (AM 0, 5.0MW) AT 
90M],MATCH(TBL_CalcDarwin[[#This Row],[Darwin Temp.
°C]],Curva_Temp[Temp]))</f>
        <v>#N/A</v>
      </c>
      <c r="AA215" s="41" t="e" cm="1">
        <f t="array" ref="AA215">INDEX(Curva_Temp[Temp],MATCH(TBL_CalcDarwin[[#This Row],[Darwin Temp.
°C]],Curva_Temp[Temp])+1)</f>
        <v>#N/A</v>
      </c>
      <c r="AB215" s="41" t="e" cm="1">
        <f t="array" ref="AB215">INDEX(Curva_Temp[Warranted Power Curve for 
1.194Kg/m3 air density '[kW']
SG 5.0-145 (AM 0, 5.0MW) AT 
90M],MATCH(TBL_CalcDarwin[[#This Row],[Darwin Temp.
°C]],Curva_Temp[Temp])+1)</f>
        <v>#N/A</v>
      </c>
      <c r="AC215" s="45">
        <f>HLOOKUP(TBL_CalcDarwin[[#This Row],[Fecha]],'Plantilla AEG ES'!$E$1:$HX$13,2,FALSE)</f>
        <v>5</v>
      </c>
      <c r="AD215" s="45">
        <f>HLOOKUP(TBL_CalcDarwin[[#This Row],[Fecha]],'Plantilla AEG ES'!$E$1:$HX$13,3,FALSE)</f>
        <v>8</v>
      </c>
      <c r="AE215" s="45">
        <f>HLOOKUP(TBL_CalcDarwin[[#This Row],[Fecha]],'Plantilla AEG ES'!$E$1:$HX$13,4,FALSE)</f>
        <v>12</v>
      </c>
      <c r="AF215" s="45">
        <f>HLOOKUP(TBL_CalcDarwin[[#This Row],[Fecha]],'Plantilla AEG ES'!$E$1:$HX$13,5,FALSE)</f>
        <v>1</v>
      </c>
      <c r="AG215" s="45">
        <f>HLOOKUP(TBL_CalcDarwin[[#This Row],[Fecha]],'Plantilla AEG ES'!$E$1:$HX$13,6,FALSE)</f>
        <v>1</v>
      </c>
      <c r="AH215" s="45">
        <f>HLOOKUP(TBL_CalcDarwin[[#This Row],[Fecha]],'Plantilla AEG ES'!$E$1:$HX$13,7,FALSE)</f>
        <v>0</v>
      </c>
      <c r="AI215" s="46">
        <f>HLOOKUP(TBL_CalcDarwin[[#This Row],[Fecha]],'Plantilla AEG ES'!$E$1:$HX$13,8,FALSE)</f>
        <v>0</v>
      </c>
      <c r="AJ215" s="46">
        <f>HLOOKUP(TBL_CalcDarwin[[#This Row],[Fecha]],'Plantilla AEG ES'!$E$1:$HX$13,9,FALSE)</f>
        <v>3</v>
      </c>
      <c r="AK215" s="46">
        <f>HLOOKUP(TBL_CalcDarwin[[#This Row],[Fecha]],'Plantilla AEG ES'!$E$1:$HX$13,10,FALSE)</f>
        <v>12</v>
      </c>
      <c r="AL215" s="46">
        <f>HLOOKUP(TBL_CalcDarwin[[#This Row],[Fecha]],'Plantilla AEG ES'!$E$1:$HX$13,11,FALSE)</f>
        <v>1</v>
      </c>
      <c r="AM215" s="46">
        <f>HLOOKUP(TBL_CalcDarwin[[#This Row],[Fecha]],'Plantilla AEG ES'!$E$1:$HX$13,12,FALSE)</f>
        <v>7</v>
      </c>
      <c r="AN215" s="46">
        <f>HLOOKUP(TBL_CalcDarwin[[#This Row],[Fecha]],'Plantilla AEG ES'!$E$1:$HX$13,13,FALSE)</f>
        <v>1</v>
      </c>
      <c r="AO215" s="37">
        <f>TBL_CalcDarwin[[#This Row],[Lomitas - Barra A - 5.2 - Cerro]]+TBL_CalcDarwin[[#This Row],[Lomitas - Barra A - 5.2 - Medio]]+TBL_CalcDarwin[[#This Row],[Lomitas - Barra A - 5.2 - Mar]]</f>
        <v>25</v>
      </c>
      <c r="AP2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5" s="37">
        <f>TBL_CalcDarwin[[#This Row],[Expansión - Barra A - 5.2 - Cerro]]+TBL_CalcDarwin[[#This Row],[Expansión - Barra A - 5.2 - Medio]]+TBL_CalcDarwin[[#This Row],[Expansión - Barra A - 5.2 - Mar]]</f>
        <v>2</v>
      </c>
      <c r="AT215" s="37">
        <f>TBL_CalcDarwin[[#This Row],[Expansión - Barra B - 5.2 - Cerro]]</f>
        <v>1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5" s="29" t="e">
        <f>TBL_CalcDarwin[[#This Row],[Expansión - Barra B - 5.2 - Cerro]]*TBL_CalcDarwin[[#This Row],[AEG 5.2 MW Cerro]]</f>
        <v>#N/A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5">
        <f t="shared" si="19"/>
        <v>45592.916666666155</v>
      </c>
      <c r="C216" s="17">
        <f t="shared" ref="C216:C220" si="21">C215+TIME(1,0,0)</f>
        <v>8.916666666666675</v>
      </c>
      <c r="D216" s="34" t="e">
        <f>TBL_CalcDarwin[[#This Row],[Darwin PLOM
MW]]+TBL_CalcDarwin[[#This Row],[Darwin PLOME
MW]]</f>
        <v>#N/A</v>
      </c>
      <c r="E216" s="34" t="e">
        <f>TBL_CalcDarwin[[#This Row],[PLOM MW TOTAL BARRA A]]+TBL_CalcDarwin[[#This Row],[PLOM MW TOTAL BARRA B]]</f>
        <v>#N/A</v>
      </c>
      <c r="F216" s="34" t="e">
        <f>TBL_CalcDarwin[[#This Row],[PLOME MW TOTAL BARRA A]]+TBL_CalcDarwin[[#This Row],[PLOME MW TOTAL BARRA B]]</f>
        <v>#N/A</v>
      </c>
      <c r="G216" s="48">
        <f>'Plantilla Datos'!D221</f>
        <v>0</v>
      </c>
      <c r="H216" s="48">
        <f>'Plantilla Datos'!E221</f>
        <v>0</v>
      </c>
      <c r="I216" s="49">
        <f>'Plantilla Datos'!F221</f>
        <v>0</v>
      </c>
      <c r="J216" s="47">
        <f>CEILING('Plantilla Datos'!$L$3*TBL_CalcDarwin[[#This Row],[Darwin Gusts
m/s]],0.5)</f>
        <v>0</v>
      </c>
      <c r="K216" s="47">
        <f>CEILING('Plantilla Datos'!$L$4*TBL_CalcDarwin[[#This Row],[Darwin Gusts
m/s]],0.5)</f>
        <v>0</v>
      </c>
      <c r="L216" s="47">
        <f>CEILING(TBL_CalcDarwin[[#This Row],[Darwin Gusts
m/s]],0.5)</f>
        <v>0</v>
      </c>
      <c r="M21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6" s="41" t="e">
        <f>INDEX(Curva_Temp[Temp],MATCH(TBL_CalcDarwin[[#This Row],[Darwin Temp.
°C]],Curva_Temp[Temp]))</f>
        <v>#N/A</v>
      </c>
      <c r="R216" s="41" t="e">
        <f>INDEX(Curva_Temp[Warranted Power Curve for 
1.194Kg/m3 air density '[kW']
SG 5.0-145 (AM+1, 5.2MW) AT 
90M],MATCH(TBL_CalcDarwin[[#This Row],[Darwin Temp.
°C]],Curva_Temp[Temp]))</f>
        <v>#N/A</v>
      </c>
      <c r="S216" s="41" t="e" cm="1">
        <f t="array" ref="S216">INDEX(Curva_Temp[Temp],MATCH(TBL_CalcDarwin[[#This Row],[Darwin Temp.
°C]],Curva_Temp[Temp])+1)</f>
        <v>#N/A</v>
      </c>
      <c r="T216" s="41" t="e" cm="1">
        <f t="array" ref="T216">INDEX(Curva_Temp[Warranted Power Curve for 
1.194Kg/m3 air density '[kW']
SG 5.0-145 (AM+1, 5.2MW) AT 
90M],MATCH(TBL_CalcDarwin[[#This Row],[Darwin Temp.
°C]],Curva_Temp[Temp])+1)</f>
        <v>#N/A</v>
      </c>
      <c r="U21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6" s="41" t="e">
        <f>INDEX(Curva_Temp[Temp],MATCH(TBL_CalcDarwin[[#This Row],[Darwin Temp.
°C]],Curva_Temp[Temp]))</f>
        <v>#N/A</v>
      </c>
      <c r="Z216" s="41" t="e">
        <f>INDEX(Curva_Temp[Warranted Power Curve for 
1.194Kg/m3 air density '[kW']
SG 5.0-145 (AM 0, 5.0MW) AT 
90M],MATCH(TBL_CalcDarwin[[#This Row],[Darwin Temp.
°C]],Curva_Temp[Temp]))</f>
        <v>#N/A</v>
      </c>
      <c r="AA216" s="41" t="e" cm="1">
        <f t="array" ref="AA216">INDEX(Curva_Temp[Temp],MATCH(TBL_CalcDarwin[[#This Row],[Darwin Temp.
°C]],Curva_Temp[Temp])+1)</f>
        <v>#N/A</v>
      </c>
      <c r="AB216" s="41" t="e" cm="1">
        <f t="array" ref="AB216">INDEX(Curva_Temp[Warranted Power Curve for 
1.194Kg/m3 air density '[kW']
SG 5.0-145 (AM 0, 5.0MW) AT 
90M],MATCH(TBL_CalcDarwin[[#This Row],[Darwin Temp.
°C]],Curva_Temp[Temp])+1)</f>
        <v>#N/A</v>
      </c>
      <c r="AC216" s="45">
        <f>HLOOKUP(TBL_CalcDarwin[[#This Row],[Fecha]],'Plantilla AEG ES'!$E$1:$HX$13,2,FALSE)</f>
        <v>5</v>
      </c>
      <c r="AD216" s="45">
        <f>HLOOKUP(TBL_CalcDarwin[[#This Row],[Fecha]],'Plantilla AEG ES'!$E$1:$HX$13,3,FALSE)</f>
        <v>8</v>
      </c>
      <c r="AE216" s="45">
        <f>HLOOKUP(TBL_CalcDarwin[[#This Row],[Fecha]],'Plantilla AEG ES'!$E$1:$HX$13,4,FALSE)</f>
        <v>12</v>
      </c>
      <c r="AF216" s="45">
        <f>HLOOKUP(TBL_CalcDarwin[[#This Row],[Fecha]],'Plantilla AEG ES'!$E$1:$HX$13,5,FALSE)</f>
        <v>1</v>
      </c>
      <c r="AG216" s="45">
        <f>HLOOKUP(TBL_CalcDarwin[[#This Row],[Fecha]],'Plantilla AEG ES'!$E$1:$HX$13,6,FALSE)</f>
        <v>1</v>
      </c>
      <c r="AH216" s="45">
        <f>HLOOKUP(TBL_CalcDarwin[[#This Row],[Fecha]],'Plantilla AEG ES'!$E$1:$HX$13,7,FALSE)</f>
        <v>0</v>
      </c>
      <c r="AI216" s="46">
        <f>HLOOKUP(TBL_CalcDarwin[[#This Row],[Fecha]],'Plantilla AEG ES'!$E$1:$HX$13,8,FALSE)</f>
        <v>0</v>
      </c>
      <c r="AJ216" s="46">
        <f>HLOOKUP(TBL_CalcDarwin[[#This Row],[Fecha]],'Plantilla AEG ES'!$E$1:$HX$13,9,FALSE)</f>
        <v>3</v>
      </c>
      <c r="AK216" s="46">
        <f>HLOOKUP(TBL_CalcDarwin[[#This Row],[Fecha]],'Plantilla AEG ES'!$E$1:$HX$13,10,FALSE)</f>
        <v>12</v>
      </c>
      <c r="AL216" s="46">
        <f>HLOOKUP(TBL_CalcDarwin[[#This Row],[Fecha]],'Plantilla AEG ES'!$E$1:$HX$13,11,FALSE)</f>
        <v>1</v>
      </c>
      <c r="AM216" s="46">
        <f>HLOOKUP(TBL_CalcDarwin[[#This Row],[Fecha]],'Plantilla AEG ES'!$E$1:$HX$13,12,FALSE)</f>
        <v>7</v>
      </c>
      <c r="AN216" s="46">
        <f>HLOOKUP(TBL_CalcDarwin[[#This Row],[Fecha]],'Plantilla AEG ES'!$E$1:$HX$13,13,FALSE)</f>
        <v>1</v>
      </c>
      <c r="AO216" s="37">
        <f>TBL_CalcDarwin[[#This Row],[Lomitas - Barra A - 5.2 - Cerro]]+TBL_CalcDarwin[[#This Row],[Lomitas - Barra A - 5.2 - Medio]]+TBL_CalcDarwin[[#This Row],[Lomitas - Barra A - 5.2 - Mar]]</f>
        <v>25</v>
      </c>
      <c r="AP2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6" s="37">
        <f>TBL_CalcDarwin[[#This Row],[Expansión - Barra A - 5.2 - Cerro]]+TBL_CalcDarwin[[#This Row],[Expansión - Barra A - 5.2 - Medio]]+TBL_CalcDarwin[[#This Row],[Expansión - Barra A - 5.2 - Mar]]</f>
        <v>2</v>
      </c>
      <c r="AT216" s="37">
        <f>TBL_CalcDarwin[[#This Row],[Expansión - Barra B - 5.2 - Cerro]]</f>
        <v>1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6" s="29" t="e">
        <f>TBL_CalcDarwin[[#This Row],[Expansión - Barra B - 5.2 - Cerro]]*TBL_CalcDarwin[[#This Row],[AEG 5.2 MW Cerro]]</f>
        <v>#N/A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5">
        <f t="shared" si="19"/>
        <v>45592.958333332819</v>
      </c>
      <c r="C217" s="17">
        <f t="shared" si="21"/>
        <v>8.958333333333341</v>
      </c>
      <c r="D217" s="34" t="e">
        <f>TBL_CalcDarwin[[#This Row],[Darwin PLOM
MW]]+TBL_CalcDarwin[[#This Row],[Darwin PLOME
MW]]</f>
        <v>#N/A</v>
      </c>
      <c r="E217" s="34" t="e">
        <f>TBL_CalcDarwin[[#This Row],[PLOM MW TOTAL BARRA A]]+TBL_CalcDarwin[[#This Row],[PLOM MW TOTAL BARRA B]]</f>
        <v>#N/A</v>
      </c>
      <c r="F217" s="34" t="e">
        <f>TBL_CalcDarwin[[#This Row],[PLOME MW TOTAL BARRA A]]+TBL_CalcDarwin[[#This Row],[PLOME MW TOTAL BARRA B]]</f>
        <v>#N/A</v>
      </c>
      <c r="G217" s="48">
        <f>'Plantilla Datos'!D222</f>
        <v>0</v>
      </c>
      <c r="H217" s="48">
        <f>'Plantilla Datos'!E222</f>
        <v>0</v>
      </c>
      <c r="I217" s="49">
        <f>'Plantilla Datos'!F222</f>
        <v>0</v>
      </c>
      <c r="J217" s="47">
        <f>CEILING('Plantilla Datos'!$L$3*TBL_CalcDarwin[[#This Row],[Darwin Gusts
m/s]],0.5)</f>
        <v>0</v>
      </c>
      <c r="K217" s="47">
        <f>CEILING('Plantilla Datos'!$L$4*TBL_CalcDarwin[[#This Row],[Darwin Gusts
m/s]],0.5)</f>
        <v>0</v>
      </c>
      <c r="L217" s="47">
        <f>CEILING(TBL_CalcDarwin[[#This Row],[Darwin Gusts
m/s]],0.5)</f>
        <v>0</v>
      </c>
      <c r="M21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7" s="41" t="e">
        <f>INDEX(Curva_Temp[Temp],MATCH(TBL_CalcDarwin[[#This Row],[Darwin Temp.
°C]],Curva_Temp[Temp]))</f>
        <v>#N/A</v>
      </c>
      <c r="R217" s="41" t="e">
        <f>INDEX(Curva_Temp[Warranted Power Curve for 
1.194Kg/m3 air density '[kW']
SG 5.0-145 (AM+1, 5.2MW) AT 
90M],MATCH(TBL_CalcDarwin[[#This Row],[Darwin Temp.
°C]],Curva_Temp[Temp]))</f>
        <v>#N/A</v>
      </c>
      <c r="S217" s="41" t="e" cm="1">
        <f t="array" ref="S217">INDEX(Curva_Temp[Temp],MATCH(TBL_CalcDarwin[[#This Row],[Darwin Temp.
°C]],Curva_Temp[Temp])+1)</f>
        <v>#N/A</v>
      </c>
      <c r="T217" s="41" t="e" cm="1">
        <f t="array" ref="T217">INDEX(Curva_Temp[Warranted Power Curve for 
1.194Kg/m3 air density '[kW']
SG 5.0-145 (AM+1, 5.2MW) AT 
90M],MATCH(TBL_CalcDarwin[[#This Row],[Darwin Temp.
°C]],Curva_Temp[Temp])+1)</f>
        <v>#N/A</v>
      </c>
      <c r="U21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7" s="41" t="e">
        <f>INDEX(Curva_Temp[Temp],MATCH(TBL_CalcDarwin[[#This Row],[Darwin Temp.
°C]],Curva_Temp[Temp]))</f>
        <v>#N/A</v>
      </c>
      <c r="Z217" s="41" t="e">
        <f>INDEX(Curva_Temp[Warranted Power Curve for 
1.194Kg/m3 air density '[kW']
SG 5.0-145 (AM 0, 5.0MW) AT 
90M],MATCH(TBL_CalcDarwin[[#This Row],[Darwin Temp.
°C]],Curva_Temp[Temp]))</f>
        <v>#N/A</v>
      </c>
      <c r="AA217" s="41" t="e" cm="1">
        <f t="array" ref="AA217">INDEX(Curva_Temp[Temp],MATCH(TBL_CalcDarwin[[#This Row],[Darwin Temp.
°C]],Curva_Temp[Temp])+1)</f>
        <v>#N/A</v>
      </c>
      <c r="AB217" s="41" t="e" cm="1">
        <f t="array" ref="AB217">INDEX(Curva_Temp[Warranted Power Curve for 
1.194Kg/m3 air density '[kW']
SG 5.0-145 (AM 0, 5.0MW) AT 
90M],MATCH(TBL_CalcDarwin[[#This Row],[Darwin Temp.
°C]],Curva_Temp[Temp])+1)</f>
        <v>#N/A</v>
      </c>
      <c r="AC217" s="45">
        <f>HLOOKUP(TBL_CalcDarwin[[#This Row],[Fecha]],'Plantilla AEG ES'!$E$1:$HX$13,2,FALSE)</f>
        <v>5</v>
      </c>
      <c r="AD217" s="45">
        <f>HLOOKUP(TBL_CalcDarwin[[#This Row],[Fecha]],'Plantilla AEG ES'!$E$1:$HX$13,3,FALSE)</f>
        <v>8</v>
      </c>
      <c r="AE217" s="45">
        <f>HLOOKUP(TBL_CalcDarwin[[#This Row],[Fecha]],'Plantilla AEG ES'!$E$1:$HX$13,4,FALSE)</f>
        <v>12</v>
      </c>
      <c r="AF217" s="45">
        <f>HLOOKUP(TBL_CalcDarwin[[#This Row],[Fecha]],'Plantilla AEG ES'!$E$1:$HX$13,5,FALSE)</f>
        <v>1</v>
      </c>
      <c r="AG217" s="45">
        <f>HLOOKUP(TBL_CalcDarwin[[#This Row],[Fecha]],'Plantilla AEG ES'!$E$1:$HX$13,6,FALSE)</f>
        <v>1</v>
      </c>
      <c r="AH217" s="45">
        <f>HLOOKUP(TBL_CalcDarwin[[#This Row],[Fecha]],'Plantilla AEG ES'!$E$1:$HX$13,7,FALSE)</f>
        <v>0</v>
      </c>
      <c r="AI217" s="46">
        <f>HLOOKUP(TBL_CalcDarwin[[#This Row],[Fecha]],'Plantilla AEG ES'!$E$1:$HX$13,8,FALSE)</f>
        <v>0</v>
      </c>
      <c r="AJ217" s="46">
        <f>HLOOKUP(TBL_CalcDarwin[[#This Row],[Fecha]],'Plantilla AEG ES'!$E$1:$HX$13,9,FALSE)</f>
        <v>3</v>
      </c>
      <c r="AK217" s="46">
        <f>HLOOKUP(TBL_CalcDarwin[[#This Row],[Fecha]],'Plantilla AEG ES'!$E$1:$HX$13,10,FALSE)</f>
        <v>12</v>
      </c>
      <c r="AL217" s="46">
        <f>HLOOKUP(TBL_CalcDarwin[[#This Row],[Fecha]],'Plantilla AEG ES'!$E$1:$HX$13,11,FALSE)</f>
        <v>1</v>
      </c>
      <c r="AM217" s="46">
        <f>HLOOKUP(TBL_CalcDarwin[[#This Row],[Fecha]],'Plantilla AEG ES'!$E$1:$HX$13,12,FALSE)</f>
        <v>7</v>
      </c>
      <c r="AN217" s="46">
        <f>HLOOKUP(TBL_CalcDarwin[[#This Row],[Fecha]],'Plantilla AEG ES'!$E$1:$HX$13,13,FALSE)</f>
        <v>1</v>
      </c>
      <c r="AO217" s="37">
        <f>TBL_CalcDarwin[[#This Row],[Lomitas - Barra A - 5.2 - Cerro]]+TBL_CalcDarwin[[#This Row],[Lomitas - Barra A - 5.2 - Medio]]+TBL_CalcDarwin[[#This Row],[Lomitas - Barra A - 5.2 - Mar]]</f>
        <v>25</v>
      </c>
      <c r="AP2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7" s="37">
        <f>TBL_CalcDarwin[[#This Row],[Expansión - Barra A - 5.2 - Cerro]]+TBL_CalcDarwin[[#This Row],[Expansión - Barra A - 5.2 - Medio]]+TBL_CalcDarwin[[#This Row],[Expansión - Barra A - 5.2 - Mar]]</f>
        <v>2</v>
      </c>
      <c r="AT217" s="37">
        <f>TBL_CalcDarwin[[#This Row],[Expansión - Barra B - 5.2 - Cerro]]</f>
        <v>1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7" s="29" t="e">
        <f>TBL_CalcDarwin[[#This Row],[Expansión - Barra B - 5.2 - Cerro]]*TBL_CalcDarwin[[#This Row],[AEG 5.2 MW Cerro]]</f>
        <v>#N/A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5">
        <f t="shared" si="19"/>
        <v>45592.999999999483</v>
      </c>
      <c r="C218" s="17">
        <f t="shared" si="21"/>
        <v>9.0000000000000071</v>
      </c>
      <c r="D218" s="34" t="e">
        <f>TBL_CalcDarwin[[#This Row],[Darwin PLOM
MW]]+TBL_CalcDarwin[[#This Row],[Darwin PLOME
MW]]</f>
        <v>#N/A</v>
      </c>
      <c r="E218" s="34" t="e">
        <f>TBL_CalcDarwin[[#This Row],[PLOM MW TOTAL BARRA A]]+TBL_CalcDarwin[[#This Row],[PLOM MW TOTAL BARRA B]]</f>
        <v>#N/A</v>
      </c>
      <c r="F218" s="34" t="e">
        <f>TBL_CalcDarwin[[#This Row],[PLOME MW TOTAL BARRA A]]+TBL_CalcDarwin[[#This Row],[PLOME MW TOTAL BARRA B]]</f>
        <v>#N/A</v>
      </c>
      <c r="G218" s="48">
        <f>'Plantilla Datos'!D223</f>
        <v>0</v>
      </c>
      <c r="H218" s="48">
        <f>'Plantilla Datos'!E223</f>
        <v>0</v>
      </c>
      <c r="I218" s="49">
        <f>'Plantilla Datos'!F223</f>
        <v>0</v>
      </c>
      <c r="J218" s="47">
        <f>CEILING('Plantilla Datos'!$L$3*TBL_CalcDarwin[[#This Row],[Darwin Gusts
m/s]],0.5)</f>
        <v>0</v>
      </c>
      <c r="K218" s="47">
        <f>CEILING('Plantilla Datos'!$L$4*TBL_CalcDarwin[[#This Row],[Darwin Gusts
m/s]],0.5)</f>
        <v>0</v>
      </c>
      <c r="L218" s="47">
        <f>CEILING(TBL_CalcDarwin[[#This Row],[Darwin Gusts
m/s]],0.5)</f>
        <v>0</v>
      </c>
      <c r="M21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8" s="41" t="e">
        <f>INDEX(Curva_Temp[Temp],MATCH(TBL_CalcDarwin[[#This Row],[Darwin Temp.
°C]],Curva_Temp[Temp]))</f>
        <v>#N/A</v>
      </c>
      <c r="R218" s="41" t="e">
        <f>INDEX(Curva_Temp[Warranted Power Curve for 
1.194Kg/m3 air density '[kW']
SG 5.0-145 (AM+1, 5.2MW) AT 
90M],MATCH(TBL_CalcDarwin[[#This Row],[Darwin Temp.
°C]],Curva_Temp[Temp]))</f>
        <v>#N/A</v>
      </c>
      <c r="S218" s="41" t="e" cm="1">
        <f t="array" ref="S218">INDEX(Curva_Temp[Temp],MATCH(TBL_CalcDarwin[[#This Row],[Darwin Temp.
°C]],Curva_Temp[Temp])+1)</f>
        <v>#N/A</v>
      </c>
      <c r="T218" s="41" t="e" cm="1">
        <f t="array" ref="T218">INDEX(Curva_Temp[Warranted Power Curve for 
1.194Kg/m3 air density '[kW']
SG 5.0-145 (AM+1, 5.2MW) AT 
90M],MATCH(TBL_CalcDarwin[[#This Row],[Darwin Temp.
°C]],Curva_Temp[Temp])+1)</f>
        <v>#N/A</v>
      </c>
      <c r="U21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8" s="41" t="e">
        <f>INDEX(Curva_Temp[Temp],MATCH(TBL_CalcDarwin[[#This Row],[Darwin Temp.
°C]],Curva_Temp[Temp]))</f>
        <v>#N/A</v>
      </c>
      <c r="Z218" s="41" t="e">
        <f>INDEX(Curva_Temp[Warranted Power Curve for 
1.194Kg/m3 air density '[kW']
SG 5.0-145 (AM 0, 5.0MW) AT 
90M],MATCH(TBL_CalcDarwin[[#This Row],[Darwin Temp.
°C]],Curva_Temp[Temp]))</f>
        <v>#N/A</v>
      </c>
      <c r="AA218" s="41" t="e" cm="1">
        <f t="array" ref="AA218">INDEX(Curva_Temp[Temp],MATCH(TBL_CalcDarwin[[#This Row],[Darwin Temp.
°C]],Curva_Temp[Temp])+1)</f>
        <v>#N/A</v>
      </c>
      <c r="AB218" s="41" t="e" cm="1">
        <f t="array" ref="AB218">INDEX(Curva_Temp[Warranted Power Curve for 
1.194Kg/m3 air density '[kW']
SG 5.0-145 (AM 0, 5.0MW) AT 
90M],MATCH(TBL_CalcDarwin[[#This Row],[Darwin Temp.
°C]],Curva_Temp[Temp])+1)</f>
        <v>#N/A</v>
      </c>
      <c r="AC218" s="45">
        <f>HLOOKUP(TBL_CalcDarwin[[#This Row],[Fecha]],'Plantilla AEG ES'!$E$1:$HX$13,2,FALSE)</f>
        <v>5</v>
      </c>
      <c r="AD218" s="45">
        <f>HLOOKUP(TBL_CalcDarwin[[#This Row],[Fecha]],'Plantilla AEG ES'!$E$1:$HX$13,3,FALSE)</f>
        <v>7</v>
      </c>
      <c r="AE218" s="45">
        <f>HLOOKUP(TBL_CalcDarwin[[#This Row],[Fecha]],'Plantilla AEG ES'!$E$1:$HX$13,4,FALSE)</f>
        <v>11</v>
      </c>
      <c r="AF218" s="45">
        <f>HLOOKUP(TBL_CalcDarwin[[#This Row],[Fecha]],'Plantilla AEG ES'!$E$1:$HX$13,5,FALSE)</f>
        <v>1</v>
      </c>
      <c r="AG218" s="45">
        <f>HLOOKUP(TBL_CalcDarwin[[#This Row],[Fecha]],'Plantilla AEG ES'!$E$1:$HX$13,6,FALSE)</f>
        <v>1</v>
      </c>
      <c r="AH218" s="45">
        <f>HLOOKUP(TBL_CalcDarwin[[#This Row],[Fecha]],'Plantilla AEG ES'!$E$1:$HX$13,7,FALSE)</f>
        <v>0</v>
      </c>
      <c r="AI218" s="46">
        <f>HLOOKUP(TBL_CalcDarwin[[#This Row],[Fecha]],'Plantilla AEG ES'!$E$1:$HX$13,8,FALSE)</f>
        <v>0</v>
      </c>
      <c r="AJ218" s="46">
        <f>HLOOKUP(TBL_CalcDarwin[[#This Row],[Fecha]],'Plantilla AEG ES'!$E$1:$HX$13,9,FALSE)</f>
        <v>3</v>
      </c>
      <c r="AK218" s="46">
        <f>HLOOKUP(TBL_CalcDarwin[[#This Row],[Fecha]],'Plantilla AEG ES'!$E$1:$HX$13,10,FALSE)</f>
        <v>12</v>
      </c>
      <c r="AL218" s="46">
        <f>HLOOKUP(TBL_CalcDarwin[[#This Row],[Fecha]],'Plantilla AEG ES'!$E$1:$HX$13,11,FALSE)</f>
        <v>1</v>
      </c>
      <c r="AM218" s="46">
        <f>HLOOKUP(TBL_CalcDarwin[[#This Row],[Fecha]],'Plantilla AEG ES'!$E$1:$HX$13,12,FALSE)</f>
        <v>7</v>
      </c>
      <c r="AN218" s="46">
        <f>HLOOKUP(TBL_CalcDarwin[[#This Row],[Fecha]],'Plantilla AEG ES'!$E$1:$HX$13,13,FALSE)</f>
        <v>1</v>
      </c>
      <c r="AO218" s="37">
        <f>TBL_CalcDarwin[[#This Row],[Lomitas - Barra A - 5.2 - Cerro]]+TBL_CalcDarwin[[#This Row],[Lomitas - Barra A - 5.2 - Medio]]+TBL_CalcDarwin[[#This Row],[Lomitas - Barra A - 5.2 - Mar]]</f>
        <v>23</v>
      </c>
      <c r="AP2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8" s="37">
        <f>TBL_CalcDarwin[[#This Row],[Expansión - Barra A - 5.2 - Cerro]]+TBL_CalcDarwin[[#This Row],[Expansión - Barra A - 5.2 - Medio]]+TBL_CalcDarwin[[#This Row],[Expansión - Barra A - 5.2 - Mar]]</f>
        <v>2</v>
      </c>
      <c r="AT218" s="37">
        <f>TBL_CalcDarwin[[#This Row],[Expansión - Barra B - 5.2 - Cerro]]</f>
        <v>1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8" s="29" t="e">
        <f>TBL_CalcDarwin[[#This Row],[Expansión - Barra B - 5.2 - Cerro]]*TBL_CalcDarwin[[#This Row],[AEG 5.2 MW Cerro]]</f>
        <v>#N/A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5">
        <f t="shared" si="19"/>
        <v>45593.041666666148</v>
      </c>
      <c r="C219" s="17">
        <f t="shared" si="21"/>
        <v>9.0416666666666732</v>
      </c>
      <c r="D219" s="34" t="e">
        <f>TBL_CalcDarwin[[#This Row],[Darwin PLOM
MW]]+TBL_CalcDarwin[[#This Row],[Darwin PLOME
MW]]</f>
        <v>#N/A</v>
      </c>
      <c r="E219" s="34" t="e">
        <f>TBL_CalcDarwin[[#This Row],[PLOM MW TOTAL BARRA A]]+TBL_CalcDarwin[[#This Row],[PLOM MW TOTAL BARRA B]]</f>
        <v>#N/A</v>
      </c>
      <c r="F219" s="34" t="e">
        <f>TBL_CalcDarwin[[#This Row],[PLOME MW TOTAL BARRA A]]+TBL_CalcDarwin[[#This Row],[PLOME MW TOTAL BARRA B]]</f>
        <v>#N/A</v>
      </c>
      <c r="G219" s="48">
        <f>'Plantilla Datos'!D224</f>
        <v>0</v>
      </c>
      <c r="H219" s="48">
        <f>'Plantilla Datos'!E224</f>
        <v>0</v>
      </c>
      <c r="I219" s="49">
        <f>'Plantilla Datos'!F224</f>
        <v>0</v>
      </c>
      <c r="J219" s="47">
        <f>CEILING('Plantilla Datos'!$L$3*TBL_CalcDarwin[[#This Row],[Darwin Gusts
m/s]],0.5)</f>
        <v>0</v>
      </c>
      <c r="K219" s="47">
        <f>CEILING('Plantilla Datos'!$L$4*TBL_CalcDarwin[[#This Row],[Darwin Gusts
m/s]],0.5)</f>
        <v>0</v>
      </c>
      <c r="L219" s="47">
        <f>CEILING(TBL_CalcDarwin[[#This Row],[Darwin Gusts
m/s]],0.5)</f>
        <v>0</v>
      </c>
      <c r="M21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9" s="41" t="e">
        <f>INDEX(Curva_Temp[Temp],MATCH(TBL_CalcDarwin[[#This Row],[Darwin Temp.
°C]],Curva_Temp[Temp]))</f>
        <v>#N/A</v>
      </c>
      <c r="R219" s="41" t="e">
        <f>INDEX(Curva_Temp[Warranted Power Curve for 
1.194Kg/m3 air density '[kW']
SG 5.0-145 (AM+1, 5.2MW) AT 
90M],MATCH(TBL_CalcDarwin[[#This Row],[Darwin Temp.
°C]],Curva_Temp[Temp]))</f>
        <v>#N/A</v>
      </c>
      <c r="S219" s="41" t="e" cm="1">
        <f t="array" ref="S219">INDEX(Curva_Temp[Temp],MATCH(TBL_CalcDarwin[[#This Row],[Darwin Temp.
°C]],Curva_Temp[Temp])+1)</f>
        <v>#N/A</v>
      </c>
      <c r="T219" s="41" t="e" cm="1">
        <f t="array" ref="T219">INDEX(Curva_Temp[Warranted Power Curve for 
1.194Kg/m3 air density '[kW']
SG 5.0-145 (AM+1, 5.2MW) AT 
90M],MATCH(TBL_CalcDarwin[[#This Row],[Darwin Temp.
°C]],Curva_Temp[Temp])+1)</f>
        <v>#N/A</v>
      </c>
      <c r="U21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9" s="41" t="e">
        <f>INDEX(Curva_Temp[Temp],MATCH(TBL_CalcDarwin[[#This Row],[Darwin Temp.
°C]],Curva_Temp[Temp]))</f>
        <v>#N/A</v>
      </c>
      <c r="Z219" s="41" t="e">
        <f>INDEX(Curva_Temp[Warranted Power Curve for 
1.194Kg/m3 air density '[kW']
SG 5.0-145 (AM 0, 5.0MW) AT 
90M],MATCH(TBL_CalcDarwin[[#This Row],[Darwin Temp.
°C]],Curva_Temp[Temp]))</f>
        <v>#N/A</v>
      </c>
      <c r="AA219" s="41" t="e" cm="1">
        <f t="array" ref="AA219">INDEX(Curva_Temp[Temp],MATCH(TBL_CalcDarwin[[#This Row],[Darwin Temp.
°C]],Curva_Temp[Temp])+1)</f>
        <v>#N/A</v>
      </c>
      <c r="AB219" s="41" t="e" cm="1">
        <f t="array" ref="AB219">INDEX(Curva_Temp[Warranted Power Curve for 
1.194Kg/m3 air density '[kW']
SG 5.0-145 (AM 0, 5.0MW) AT 
90M],MATCH(TBL_CalcDarwin[[#This Row],[Darwin Temp.
°C]],Curva_Temp[Temp])+1)</f>
        <v>#N/A</v>
      </c>
      <c r="AC219" s="45">
        <f>HLOOKUP(TBL_CalcDarwin[[#This Row],[Fecha]],'Plantilla AEG ES'!$E$1:$HX$13,2,FALSE)</f>
        <v>5</v>
      </c>
      <c r="AD219" s="45">
        <f>HLOOKUP(TBL_CalcDarwin[[#This Row],[Fecha]],'Plantilla AEG ES'!$E$1:$HX$13,3,FALSE)</f>
        <v>7</v>
      </c>
      <c r="AE219" s="45">
        <f>HLOOKUP(TBL_CalcDarwin[[#This Row],[Fecha]],'Plantilla AEG ES'!$E$1:$HX$13,4,FALSE)</f>
        <v>11</v>
      </c>
      <c r="AF219" s="45">
        <f>HLOOKUP(TBL_CalcDarwin[[#This Row],[Fecha]],'Plantilla AEG ES'!$E$1:$HX$13,5,FALSE)</f>
        <v>1</v>
      </c>
      <c r="AG219" s="45">
        <f>HLOOKUP(TBL_CalcDarwin[[#This Row],[Fecha]],'Plantilla AEG ES'!$E$1:$HX$13,6,FALSE)</f>
        <v>1</v>
      </c>
      <c r="AH219" s="45">
        <f>HLOOKUP(TBL_CalcDarwin[[#This Row],[Fecha]],'Plantilla AEG ES'!$E$1:$HX$13,7,FALSE)</f>
        <v>0</v>
      </c>
      <c r="AI219" s="46">
        <f>HLOOKUP(TBL_CalcDarwin[[#This Row],[Fecha]],'Plantilla AEG ES'!$E$1:$HX$13,8,FALSE)</f>
        <v>0</v>
      </c>
      <c r="AJ219" s="46">
        <f>HLOOKUP(TBL_CalcDarwin[[#This Row],[Fecha]],'Plantilla AEG ES'!$E$1:$HX$13,9,FALSE)</f>
        <v>3</v>
      </c>
      <c r="AK219" s="46">
        <f>HLOOKUP(TBL_CalcDarwin[[#This Row],[Fecha]],'Plantilla AEG ES'!$E$1:$HX$13,10,FALSE)</f>
        <v>12</v>
      </c>
      <c r="AL219" s="46">
        <f>HLOOKUP(TBL_CalcDarwin[[#This Row],[Fecha]],'Plantilla AEG ES'!$E$1:$HX$13,11,FALSE)</f>
        <v>1</v>
      </c>
      <c r="AM219" s="46">
        <f>HLOOKUP(TBL_CalcDarwin[[#This Row],[Fecha]],'Plantilla AEG ES'!$E$1:$HX$13,12,FALSE)</f>
        <v>7</v>
      </c>
      <c r="AN219" s="46">
        <f>HLOOKUP(TBL_CalcDarwin[[#This Row],[Fecha]],'Plantilla AEG ES'!$E$1:$HX$13,13,FALSE)</f>
        <v>1</v>
      </c>
      <c r="AO219" s="37">
        <f>TBL_CalcDarwin[[#This Row],[Lomitas - Barra A - 5.2 - Cerro]]+TBL_CalcDarwin[[#This Row],[Lomitas - Barra A - 5.2 - Medio]]+TBL_CalcDarwin[[#This Row],[Lomitas - Barra A - 5.2 - Mar]]</f>
        <v>23</v>
      </c>
      <c r="AP2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9" s="37">
        <f>TBL_CalcDarwin[[#This Row],[Expansión - Barra A - 5.2 - Cerro]]+TBL_CalcDarwin[[#This Row],[Expansión - Barra A - 5.2 - Medio]]+TBL_CalcDarwin[[#This Row],[Expansión - Barra A - 5.2 - Mar]]</f>
        <v>2</v>
      </c>
      <c r="AT219" s="37">
        <f>TBL_CalcDarwin[[#This Row],[Expansión - Barra B - 5.2 - Cerro]]</f>
        <v>1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9" s="29" t="e">
        <f>TBL_CalcDarwin[[#This Row],[Expansión - Barra B - 5.2 - Cerro]]*TBL_CalcDarwin[[#This Row],[AEG 5.2 MW Cerro]]</f>
        <v>#N/A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5">
        <f t="shared" si="19"/>
        <v>45593.083333332812</v>
      </c>
      <c r="C220" s="17">
        <f t="shared" si="21"/>
        <v>9.0833333333333393</v>
      </c>
      <c r="D220" s="34" t="e">
        <f>TBL_CalcDarwin[[#This Row],[Darwin PLOM
MW]]+TBL_CalcDarwin[[#This Row],[Darwin PLOME
MW]]</f>
        <v>#N/A</v>
      </c>
      <c r="E220" s="34" t="e">
        <f>TBL_CalcDarwin[[#This Row],[PLOM MW TOTAL BARRA A]]+TBL_CalcDarwin[[#This Row],[PLOM MW TOTAL BARRA B]]</f>
        <v>#N/A</v>
      </c>
      <c r="F220" s="34" t="e">
        <f>TBL_CalcDarwin[[#This Row],[PLOME MW TOTAL BARRA A]]+TBL_CalcDarwin[[#This Row],[PLOME MW TOTAL BARRA B]]</f>
        <v>#N/A</v>
      </c>
      <c r="G220" s="48">
        <f>'Plantilla Datos'!D225</f>
        <v>0</v>
      </c>
      <c r="H220" s="48">
        <f>'Plantilla Datos'!E225</f>
        <v>0</v>
      </c>
      <c r="I220" s="49">
        <f>'Plantilla Datos'!F225</f>
        <v>0</v>
      </c>
      <c r="J220" s="47">
        <f>CEILING('Plantilla Datos'!$L$3*TBL_CalcDarwin[[#This Row],[Darwin Gusts
m/s]],0.5)</f>
        <v>0</v>
      </c>
      <c r="K220" s="47">
        <f>CEILING('Plantilla Datos'!$L$4*TBL_CalcDarwin[[#This Row],[Darwin Gusts
m/s]],0.5)</f>
        <v>0</v>
      </c>
      <c r="L220" s="47">
        <f>CEILING(TBL_CalcDarwin[[#This Row],[Darwin Gusts
m/s]],0.5)</f>
        <v>0</v>
      </c>
      <c r="M220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0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0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0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0" s="41" t="e">
        <f>INDEX(Curva_Temp[Temp],MATCH(TBL_CalcDarwin[[#This Row],[Darwin Temp.
°C]],Curva_Temp[Temp]))</f>
        <v>#N/A</v>
      </c>
      <c r="R220" s="41" t="e">
        <f>INDEX(Curva_Temp[Warranted Power Curve for 
1.194Kg/m3 air density '[kW']
SG 5.0-145 (AM+1, 5.2MW) AT 
90M],MATCH(TBL_CalcDarwin[[#This Row],[Darwin Temp.
°C]],Curva_Temp[Temp]))</f>
        <v>#N/A</v>
      </c>
      <c r="S220" s="41" t="e" cm="1">
        <f t="array" ref="S220">INDEX(Curva_Temp[Temp],MATCH(TBL_CalcDarwin[[#This Row],[Darwin Temp.
°C]],Curva_Temp[Temp])+1)</f>
        <v>#N/A</v>
      </c>
      <c r="T220" s="41" t="e" cm="1">
        <f t="array" ref="T220">INDEX(Curva_Temp[Warranted Power Curve for 
1.194Kg/m3 air density '[kW']
SG 5.0-145 (AM+1, 5.2MW) AT 
90M],MATCH(TBL_CalcDarwin[[#This Row],[Darwin Temp.
°C]],Curva_Temp[Temp])+1)</f>
        <v>#N/A</v>
      </c>
      <c r="U220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0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0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0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0" s="41" t="e">
        <f>INDEX(Curva_Temp[Temp],MATCH(TBL_CalcDarwin[[#This Row],[Darwin Temp.
°C]],Curva_Temp[Temp]))</f>
        <v>#N/A</v>
      </c>
      <c r="Z220" s="41" t="e">
        <f>INDEX(Curva_Temp[Warranted Power Curve for 
1.194Kg/m3 air density '[kW']
SG 5.0-145 (AM 0, 5.0MW) AT 
90M],MATCH(TBL_CalcDarwin[[#This Row],[Darwin Temp.
°C]],Curva_Temp[Temp]))</f>
        <v>#N/A</v>
      </c>
      <c r="AA220" s="41" t="e" cm="1">
        <f t="array" ref="AA220">INDEX(Curva_Temp[Temp],MATCH(TBL_CalcDarwin[[#This Row],[Darwin Temp.
°C]],Curva_Temp[Temp])+1)</f>
        <v>#N/A</v>
      </c>
      <c r="AB220" s="41" t="e" cm="1">
        <f t="array" ref="AB220">INDEX(Curva_Temp[Warranted Power Curve for 
1.194Kg/m3 air density '[kW']
SG 5.0-145 (AM 0, 5.0MW) AT 
90M],MATCH(TBL_CalcDarwin[[#This Row],[Darwin Temp.
°C]],Curva_Temp[Temp])+1)</f>
        <v>#N/A</v>
      </c>
      <c r="AC220" s="45">
        <f>HLOOKUP(TBL_CalcDarwin[[#This Row],[Fecha]],'Plantilla AEG ES'!$E$1:$HX$13,2,FALSE)</f>
        <v>5</v>
      </c>
      <c r="AD220" s="45">
        <f>HLOOKUP(TBL_CalcDarwin[[#This Row],[Fecha]],'Plantilla AEG ES'!$E$1:$HX$13,3,FALSE)</f>
        <v>7</v>
      </c>
      <c r="AE220" s="45">
        <f>HLOOKUP(TBL_CalcDarwin[[#This Row],[Fecha]],'Plantilla AEG ES'!$E$1:$HX$13,4,FALSE)</f>
        <v>11</v>
      </c>
      <c r="AF220" s="45">
        <f>HLOOKUP(TBL_CalcDarwin[[#This Row],[Fecha]],'Plantilla AEG ES'!$E$1:$HX$13,5,FALSE)</f>
        <v>1</v>
      </c>
      <c r="AG220" s="45">
        <f>HLOOKUP(TBL_CalcDarwin[[#This Row],[Fecha]],'Plantilla AEG ES'!$E$1:$HX$13,6,FALSE)</f>
        <v>1</v>
      </c>
      <c r="AH220" s="45">
        <f>HLOOKUP(TBL_CalcDarwin[[#This Row],[Fecha]],'Plantilla AEG ES'!$E$1:$HX$13,7,FALSE)</f>
        <v>0</v>
      </c>
      <c r="AI220" s="46">
        <f>HLOOKUP(TBL_CalcDarwin[[#This Row],[Fecha]],'Plantilla AEG ES'!$E$1:$HX$13,8,FALSE)</f>
        <v>0</v>
      </c>
      <c r="AJ220" s="46">
        <f>HLOOKUP(TBL_CalcDarwin[[#This Row],[Fecha]],'Plantilla AEG ES'!$E$1:$HX$13,9,FALSE)</f>
        <v>3</v>
      </c>
      <c r="AK220" s="46">
        <f>HLOOKUP(TBL_CalcDarwin[[#This Row],[Fecha]],'Plantilla AEG ES'!$E$1:$HX$13,10,FALSE)</f>
        <v>12</v>
      </c>
      <c r="AL220" s="46">
        <f>HLOOKUP(TBL_CalcDarwin[[#This Row],[Fecha]],'Plantilla AEG ES'!$E$1:$HX$13,11,FALSE)</f>
        <v>1</v>
      </c>
      <c r="AM220" s="46">
        <f>HLOOKUP(TBL_CalcDarwin[[#This Row],[Fecha]],'Plantilla AEG ES'!$E$1:$HX$13,12,FALSE)</f>
        <v>7</v>
      </c>
      <c r="AN220" s="46">
        <f>HLOOKUP(TBL_CalcDarwin[[#This Row],[Fecha]],'Plantilla AEG ES'!$E$1:$HX$13,13,FALSE)</f>
        <v>1</v>
      </c>
      <c r="AO220" s="37">
        <f>TBL_CalcDarwin[[#This Row],[Lomitas - Barra A - 5.2 - Cerro]]+TBL_CalcDarwin[[#This Row],[Lomitas - Barra A - 5.2 - Medio]]+TBL_CalcDarwin[[#This Row],[Lomitas - Barra A - 5.2 - Mar]]</f>
        <v>23</v>
      </c>
      <c r="AP2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0" s="37">
        <f>TBL_CalcDarwin[[#This Row],[Expansión - Barra A - 5.2 - Cerro]]+TBL_CalcDarwin[[#This Row],[Expansión - Barra A - 5.2 - Medio]]+TBL_CalcDarwin[[#This Row],[Expansión - Barra A - 5.2 - Mar]]</f>
        <v>2</v>
      </c>
      <c r="AT220" s="37">
        <f>TBL_CalcDarwin[[#This Row],[Expansión - Barra B - 5.2 - Cerro]]</f>
        <v>1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0" s="29" t="e">
        <f>TBL_CalcDarwin[[#This Row],[Expansión - Barra B - 5.2 - Cerro]]*TBL_CalcDarwin[[#This Row],[AEG 5.2 MW Cerro]]</f>
        <v>#N/A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5">
        <f t="shared" si="19"/>
        <v>45593.124999999476</v>
      </c>
      <c r="C221" s="17">
        <f>C220+TIME(1,0,0)</f>
        <v>9.1250000000000053</v>
      </c>
      <c r="D221" s="34" t="e">
        <f>TBL_CalcDarwin[[#This Row],[Darwin PLOM
MW]]+TBL_CalcDarwin[[#This Row],[Darwin PLOME
MW]]</f>
        <v>#N/A</v>
      </c>
      <c r="E221" s="34" t="e">
        <f>TBL_CalcDarwin[[#This Row],[PLOM MW TOTAL BARRA A]]+TBL_CalcDarwin[[#This Row],[PLOM MW TOTAL BARRA B]]</f>
        <v>#N/A</v>
      </c>
      <c r="F221" s="34" t="e">
        <f>TBL_CalcDarwin[[#This Row],[PLOME MW TOTAL BARRA A]]+TBL_CalcDarwin[[#This Row],[PLOME MW TOTAL BARRA B]]</f>
        <v>#N/A</v>
      </c>
      <c r="G221" s="48">
        <f>'Plantilla Datos'!D226</f>
        <v>0</v>
      </c>
      <c r="H221" s="48">
        <f>'Plantilla Datos'!E226</f>
        <v>0</v>
      </c>
      <c r="I221" s="49">
        <f>'Plantilla Datos'!F226</f>
        <v>0</v>
      </c>
      <c r="J221" s="47">
        <f>CEILING('Plantilla Datos'!$L$3*TBL_CalcDarwin[[#This Row],[Darwin Gusts
m/s]],0.5)</f>
        <v>0</v>
      </c>
      <c r="K221" s="47">
        <f>CEILING('Plantilla Datos'!$L$4*TBL_CalcDarwin[[#This Row],[Darwin Gusts
m/s]],0.5)</f>
        <v>0</v>
      </c>
      <c r="L221" s="47">
        <f>CEILING(TBL_CalcDarwin[[#This Row],[Darwin Gusts
m/s]],0.5)</f>
        <v>0</v>
      </c>
      <c r="M221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1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1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1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1" s="41" t="e">
        <f>INDEX(Curva_Temp[Temp],MATCH(TBL_CalcDarwin[[#This Row],[Darwin Temp.
°C]],Curva_Temp[Temp]))</f>
        <v>#N/A</v>
      </c>
      <c r="R221" s="41" t="e">
        <f>INDEX(Curva_Temp[Warranted Power Curve for 
1.194Kg/m3 air density '[kW']
SG 5.0-145 (AM+1, 5.2MW) AT 
90M],MATCH(TBL_CalcDarwin[[#This Row],[Darwin Temp.
°C]],Curva_Temp[Temp]))</f>
        <v>#N/A</v>
      </c>
      <c r="S221" s="41" t="e" cm="1">
        <f t="array" ref="S221">INDEX(Curva_Temp[Temp],MATCH(TBL_CalcDarwin[[#This Row],[Darwin Temp.
°C]],Curva_Temp[Temp])+1)</f>
        <v>#N/A</v>
      </c>
      <c r="T221" s="41" t="e" cm="1">
        <f t="array" ref="T221">INDEX(Curva_Temp[Warranted Power Curve for 
1.194Kg/m3 air density '[kW']
SG 5.0-145 (AM+1, 5.2MW) AT 
90M],MATCH(TBL_CalcDarwin[[#This Row],[Darwin Temp.
°C]],Curva_Temp[Temp])+1)</f>
        <v>#N/A</v>
      </c>
      <c r="U221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1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1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1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1" s="41" t="e">
        <f>INDEX(Curva_Temp[Temp],MATCH(TBL_CalcDarwin[[#This Row],[Darwin Temp.
°C]],Curva_Temp[Temp]))</f>
        <v>#N/A</v>
      </c>
      <c r="Z221" s="41" t="e">
        <f>INDEX(Curva_Temp[Warranted Power Curve for 
1.194Kg/m3 air density '[kW']
SG 5.0-145 (AM 0, 5.0MW) AT 
90M],MATCH(TBL_CalcDarwin[[#This Row],[Darwin Temp.
°C]],Curva_Temp[Temp]))</f>
        <v>#N/A</v>
      </c>
      <c r="AA221" s="41" t="e" cm="1">
        <f t="array" ref="AA221">INDEX(Curva_Temp[Temp],MATCH(TBL_CalcDarwin[[#This Row],[Darwin Temp.
°C]],Curva_Temp[Temp])+1)</f>
        <v>#N/A</v>
      </c>
      <c r="AB221" s="41" t="e" cm="1">
        <f t="array" ref="AB221">INDEX(Curva_Temp[Warranted Power Curve for 
1.194Kg/m3 air density '[kW']
SG 5.0-145 (AM 0, 5.0MW) AT 
90M],MATCH(TBL_CalcDarwin[[#This Row],[Darwin Temp.
°C]],Curva_Temp[Temp])+1)</f>
        <v>#N/A</v>
      </c>
      <c r="AC221" s="45">
        <f>HLOOKUP(TBL_CalcDarwin[[#This Row],[Fecha]],'Plantilla AEG ES'!$E$1:$HX$13,2,FALSE)</f>
        <v>5</v>
      </c>
      <c r="AD221" s="45">
        <f>HLOOKUP(TBL_CalcDarwin[[#This Row],[Fecha]],'Plantilla AEG ES'!$E$1:$HX$13,3,FALSE)</f>
        <v>7</v>
      </c>
      <c r="AE221" s="45">
        <f>HLOOKUP(TBL_CalcDarwin[[#This Row],[Fecha]],'Plantilla AEG ES'!$E$1:$HX$13,4,FALSE)</f>
        <v>11</v>
      </c>
      <c r="AF221" s="45">
        <f>HLOOKUP(TBL_CalcDarwin[[#This Row],[Fecha]],'Plantilla AEG ES'!$E$1:$HX$13,5,FALSE)</f>
        <v>1</v>
      </c>
      <c r="AG221" s="45">
        <f>HLOOKUP(TBL_CalcDarwin[[#This Row],[Fecha]],'Plantilla AEG ES'!$E$1:$HX$13,6,FALSE)</f>
        <v>1</v>
      </c>
      <c r="AH221" s="45">
        <f>HLOOKUP(TBL_CalcDarwin[[#This Row],[Fecha]],'Plantilla AEG ES'!$E$1:$HX$13,7,FALSE)</f>
        <v>0</v>
      </c>
      <c r="AI221" s="46">
        <f>HLOOKUP(TBL_CalcDarwin[[#This Row],[Fecha]],'Plantilla AEG ES'!$E$1:$HX$13,8,FALSE)</f>
        <v>0</v>
      </c>
      <c r="AJ221" s="46">
        <f>HLOOKUP(TBL_CalcDarwin[[#This Row],[Fecha]],'Plantilla AEG ES'!$E$1:$HX$13,9,FALSE)</f>
        <v>3</v>
      </c>
      <c r="AK221" s="46">
        <f>HLOOKUP(TBL_CalcDarwin[[#This Row],[Fecha]],'Plantilla AEG ES'!$E$1:$HX$13,10,FALSE)</f>
        <v>12</v>
      </c>
      <c r="AL221" s="46">
        <f>HLOOKUP(TBL_CalcDarwin[[#This Row],[Fecha]],'Plantilla AEG ES'!$E$1:$HX$13,11,FALSE)</f>
        <v>1</v>
      </c>
      <c r="AM221" s="46">
        <f>HLOOKUP(TBL_CalcDarwin[[#This Row],[Fecha]],'Plantilla AEG ES'!$E$1:$HX$13,12,FALSE)</f>
        <v>7</v>
      </c>
      <c r="AN221" s="46">
        <f>HLOOKUP(TBL_CalcDarwin[[#This Row],[Fecha]],'Plantilla AEG ES'!$E$1:$HX$13,13,FALSE)</f>
        <v>1</v>
      </c>
      <c r="AO221" s="37">
        <f>TBL_CalcDarwin[[#This Row],[Lomitas - Barra A - 5.2 - Cerro]]+TBL_CalcDarwin[[#This Row],[Lomitas - Barra A - 5.2 - Medio]]+TBL_CalcDarwin[[#This Row],[Lomitas - Barra A - 5.2 - Mar]]</f>
        <v>23</v>
      </c>
      <c r="AP2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1" s="37">
        <f>TBL_CalcDarwin[[#This Row],[Expansión - Barra A - 5.2 - Cerro]]+TBL_CalcDarwin[[#This Row],[Expansión - Barra A - 5.2 - Medio]]+TBL_CalcDarwin[[#This Row],[Expansión - Barra A - 5.2 - Mar]]</f>
        <v>2</v>
      </c>
      <c r="AT221" s="37">
        <f>TBL_CalcDarwin[[#This Row],[Expansión - Barra B - 5.2 - Cerro]]</f>
        <v>1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1" s="29" t="e">
        <f>TBL_CalcDarwin[[#This Row],[Expansión - Barra B - 5.2 - Cerro]]*TBL_CalcDarwin[[#This Row],[AEG 5.2 MW Cerro]]</f>
        <v>#N/A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5">
        <f t="shared" si="19"/>
        <v>45593.16666666614</v>
      </c>
      <c r="C222" s="17">
        <f t="shared" ref="C222:C229" si="22">C221+TIME(1,0,0)</f>
        <v>9.1666666666666714</v>
      </c>
      <c r="D222" s="34" t="e">
        <f>TBL_CalcDarwin[[#This Row],[Darwin PLOM
MW]]+TBL_CalcDarwin[[#This Row],[Darwin PLOME
MW]]</f>
        <v>#N/A</v>
      </c>
      <c r="E222" s="34" t="e">
        <f>TBL_CalcDarwin[[#This Row],[PLOM MW TOTAL BARRA A]]+TBL_CalcDarwin[[#This Row],[PLOM MW TOTAL BARRA B]]</f>
        <v>#N/A</v>
      </c>
      <c r="F222" s="34" t="e">
        <f>TBL_CalcDarwin[[#This Row],[PLOME MW TOTAL BARRA A]]+TBL_CalcDarwin[[#This Row],[PLOME MW TOTAL BARRA B]]</f>
        <v>#N/A</v>
      </c>
      <c r="G222" s="48">
        <f>'Plantilla Datos'!D227</f>
        <v>0</v>
      </c>
      <c r="H222" s="48">
        <f>'Plantilla Datos'!E227</f>
        <v>0</v>
      </c>
      <c r="I222" s="49">
        <f>'Plantilla Datos'!F227</f>
        <v>0</v>
      </c>
      <c r="J222" s="47">
        <f>CEILING('Plantilla Datos'!$L$3*TBL_CalcDarwin[[#This Row],[Darwin Gusts
m/s]],0.5)</f>
        <v>0</v>
      </c>
      <c r="K222" s="47">
        <f>CEILING('Plantilla Datos'!$L$4*TBL_CalcDarwin[[#This Row],[Darwin Gusts
m/s]],0.5)</f>
        <v>0</v>
      </c>
      <c r="L222" s="47">
        <f>CEILING(TBL_CalcDarwin[[#This Row],[Darwin Gusts
m/s]],0.5)</f>
        <v>0</v>
      </c>
      <c r="M222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2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2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2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2" s="41" t="e">
        <f>INDEX(Curva_Temp[Temp],MATCH(TBL_CalcDarwin[[#This Row],[Darwin Temp.
°C]],Curva_Temp[Temp]))</f>
        <v>#N/A</v>
      </c>
      <c r="R222" s="41" t="e">
        <f>INDEX(Curva_Temp[Warranted Power Curve for 
1.194Kg/m3 air density '[kW']
SG 5.0-145 (AM+1, 5.2MW) AT 
90M],MATCH(TBL_CalcDarwin[[#This Row],[Darwin Temp.
°C]],Curva_Temp[Temp]))</f>
        <v>#N/A</v>
      </c>
      <c r="S222" s="41" t="e" cm="1">
        <f t="array" ref="S222">INDEX(Curva_Temp[Temp],MATCH(TBL_CalcDarwin[[#This Row],[Darwin Temp.
°C]],Curva_Temp[Temp])+1)</f>
        <v>#N/A</v>
      </c>
      <c r="T222" s="41" t="e" cm="1">
        <f t="array" ref="T222">INDEX(Curva_Temp[Warranted Power Curve for 
1.194Kg/m3 air density '[kW']
SG 5.0-145 (AM+1, 5.2MW) AT 
90M],MATCH(TBL_CalcDarwin[[#This Row],[Darwin Temp.
°C]],Curva_Temp[Temp])+1)</f>
        <v>#N/A</v>
      </c>
      <c r="U222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2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2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2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2" s="41" t="e">
        <f>INDEX(Curva_Temp[Temp],MATCH(TBL_CalcDarwin[[#This Row],[Darwin Temp.
°C]],Curva_Temp[Temp]))</f>
        <v>#N/A</v>
      </c>
      <c r="Z222" s="41" t="e">
        <f>INDEX(Curva_Temp[Warranted Power Curve for 
1.194Kg/m3 air density '[kW']
SG 5.0-145 (AM 0, 5.0MW) AT 
90M],MATCH(TBL_CalcDarwin[[#This Row],[Darwin Temp.
°C]],Curva_Temp[Temp]))</f>
        <v>#N/A</v>
      </c>
      <c r="AA222" s="41" t="e" cm="1">
        <f t="array" ref="AA222">INDEX(Curva_Temp[Temp],MATCH(TBL_CalcDarwin[[#This Row],[Darwin Temp.
°C]],Curva_Temp[Temp])+1)</f>
        <v>#N/A</v>
      </c>
      <c r="AB222" s="41" t="e" cm="1">
        <f t="array" ref="AB222">INDEX(Curva_Temp[Warranted Power Curve for 
1.194Kg/m3 air density '[kW']
SG 5.0-145 (AM 0, 5.0MW) AT 
90M],MATCH(TBL_CalcDarwin[[#This Row],[Darwin Temp.
°C]],Curva_Temp[Temp])+1)</f>
        <v>#N/A</v>
      </c>
      <c r="AC222" s="45">
        <f>HLOOKUP(TBL_CalcDarwin[[#This Row],[Fecha]],'Plantilla AEG ES'!$E$1:$HX$13,2,FALSE)</f>
        <v>5</v>
      </c>
      <c r="AD222" s="45">
        <f>HLOOKUP(TBL_CalcDarwin[[#This Row],[Fecha]],'Plantilla AEG ES'!$E$1:$HX$13,3,FALSE)</f>
        <v>7</v>
      </c>
      <c r="AE222" s="45">
        <f>HLOOKUP(TBL_CalcDarwin[[#This Row],[Fecha]],'Plantilla AEG ES'!$E$1:$HX$13,4,FALSE)</f>
        <v>11</v>
      </c>
      <c r="AF222" s="45">
        <f>HLOOKUP(TBL_CalcDarwin[[#This Row],[Fecha]],'Plantilla AEG ES'!$E$1:$HX$13,5,FALSE)</f>
        <v>1</v>
      </c>
      <c r="AG222" s="45">
        <f>HLOOKUP(TBL_CalcDarwin[[#This Row],[Fecha]],'Plantilla AEG ES'!$E$1:$HX$13,6,FALSE)</f>
        <v>1</v>
      </c>
      <c r="AH222" s="45">
        <f>HLOOKUP(TBL_CalcDarwin[[#This Row],[Fecha]],'Plantilla AEG ES'!$E$1:$HX$13,7,FALSE)</f>
        <v>0</v>
      </c>
      <c r="AI222" s="46">
        <f>HLOOKUP(TBL_CalcDarwin[[#This Row],[Fecha]],'Plantilla AEG ES'!$E$1:$HX$13,8,FALSE)</f>
        <v>0</v>
      </c>
      <c r="AJ222" s="46">
        <f>HLOOKUP(TBL_CalcDarwin[[#This Row],[Fecha]],'Plantilla AEG ES'!$E$1:$HX$13,9,FALSE)</f>
        <v>3</v>
      </c>
      <c r="AK222" s="46">
        <f>HLOOKUP(TBL_CalcDarwin[[#This Row],[Fecha]],'Plantilla AEG ES'!$E$1:$HX$13,10,FALSE)</f>
        <v>12</v>
      </c>
      <c r="AL222" s="46">
        <f>HLOOKUP(TBL_CalcDarwin[[#This Row],[Fecha]],'Plantilla AEG ES'!$E$1:$HX$13,11,FALSE)</f>
        <v>1</v>
      </c>
      <c r="AM222" s="46">
        <f>HLOOKUP(TBL_CalcDarwin[[#This Row],[Fecha]],'Plantilla AEG ES'!$E$1:$HX$13,12,FALSE)</f>
        <v>7</v>
      </c>
      <c r="AN222" s="46">
        <f>HLOOKUP(TBL_CalcDarwin[[#This Row],[Fecha]],'Plantilla AEG ES'!$E$1:$HX$13,13,FALSE)</f>
        <v>1</v>
      </c>
      <c r="AO222" s="37">
        <f>TBL_CalcDarwin[[#This Row],[Lomitas - Barra A - 5.2 - Cerro]]+TBL_CalcDarwin[[#This Row],[Lomitas - Barra A - 5.2 - Medio]]+TBL_CalcDarwin[[#This Row],[Lomitas - Barra A - 5.2 - Mar]]</f>
        <v>23</v>
      </c>
      <c r="AP2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2" s="37">
        <f>TBL_CalcDarwin[[#This Row],[Expansión - Barra A - 5.2 - Cerro]]+TBL_CalcDarwin[[#This Row],[Expansión - Barra A - 5.2 - Medio]]+TBL_CalcDarwin[[#This Row],[Expansión - Barra A - 5.2 - Mar]]</f>
        <v>2</v>
      </c>
      <c r="AT222" s="37">
        <f>TBL_CalcDarwin[[#This Row],[Expansión - Barra B - 5.2 - Cerro]]</f>
        <v>1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2" s="29" t="e">
        <f>TBL_CalcDarwin[[#This Row],[Expansión - Barra B - 5.2 - Cerro]]*TBL_CalcDarwin[[#This Row],[AEG 5.2 MW Cerro]]</f>
        <v>#N/A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5">
        <f t="shared" si="19"/>
        <v>45593.208333332805</v>
      </c>
      <c r="C223" s="17">
        <f t="shared" si="22"/>
        <v>9.2083333333333375</v>
      </c>
      <c r="D223" s="34" t="e">
        <f>TBL_CalcDarwin[[#This Row],[Darwin PLOM
MW]]+TBL_CalcDarwin[[#This Row],[Darwin PLOME
MW]]</f>
        <v>#N/A</v>
      </c>
      <c r="E223" s="34" t="e">
        <f>TBL_CalcDarwin[[#This Row],[PLOM MW TOTAL BARRA A]]+TBL_CalcDarwin[[#This Row],[PLOM MW TOTAL BARRA B]]</f>
        <v>#N/A</v>
      </c>
      <c r="F223" s="34" t="e">
        <f>TBL_CalcDarwin[[#This Row],[PLOME MW TOTAL BARRA A]]+TBL_CalcDarwin[[#This Row],[PLOME MW TOTAL BARRA B]]</f>
        <v>#N/A</v>
      </c>
      <c r="G223" s="48">
        <f>'Plantilla Datos'!D228</f>
        <v>0</v>
      </c>
      <c r="H223" s="48">
        <f>'Plantilla Datos'!E228</f>
        <v>0</v>
      </c>
      <c r="I223" s="49">
        <f>'Plantilla Datos'!F228</f>
        <v>0</v>
      </c>
      <c r="J223" s="47">
        <f>CEILING('Plantilla Datos'!$L$3*TBL_CalcDarwin[[#This Row],[Darwin Gusts
m/s]],0.5)</f>
        <v>0</v>
      </c>
      <c r="K223" s="47">
        <f>CEILING('Plantilla Datos'!$L$4*TBL_CalcDarwin[[#This Row],[Darwin Gusts
m/s]],0.5)</f>
        <v>0</v>
      </c>
      <c r="L223" s="47">
        <f>CEILING(TBL_CalcDarwin[[#This Row],[Darwin Gusts
m/s]],0.5)</f>
        <v>0</v>
      </c>
      <c r="M223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3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3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3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3" s="41" t="e">
        <f>INDEX(Curva_Temp[Temp],MATCH(TBL_CalcDarwin[[#This Row],[Darwin Temp.
°C]],Curva_Temp[Temp]))</f>
        <v>#N/A</v>
      </c>
      <c r="R223" s="41" t="e">
        <f>INDEX(Curva_Temp[Warranted Power Curve for 
1.194Kg/m3 air density '[kW']
SG 5.0-145 (AM+1, 5.2MW) AT 
90M],MATCH(TBL_CalcDarwin[[#This Row],[Darwin Temp.
°C]],Curva_Temp[Temp]))</f>
        <v>#N/A</v>
      </c>
      <c r="S223" s="41" t="e" cm="1">
        <f t="array" ref="S223">INDEX(Curva_Temp[Temp],MATCH(TBL_CalcDarwin[[#This Row],[Darwin Temp.
°C]],Curva_Temp[Temp])+1)</f>
        <v>#N/A</v>
      </c>
      <c r="T223" s="41" t="e" cm="1">
        <f t="array" ref="T223">INDEX(Curva_Temp[Warranted Power Curve for 
1.194Kg/m3 air density '[kW']
SG 5.0-145 (AM+1, 5.2MW) AT 
90M],MATCH(TBL_CalcDarwin[[#This Row],[Darwin Temp.
°C]],Curva_Temp[Temp])+1)</f>
        <v>#N/A</v>
      </c>
      <c r="U223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3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3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3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3" s="41" t="e">
        <f>INDEX(Curva_Temp[Temp],MATCH(TBL_CalcDarwin[[#This Row],[Darwin Temp.
°C]],Curva_Temp[Temp]))</f>
        <v>#N/A</v>
      </c>
      <c r="Z223" s="41" t="e">
        <f>INDEX(Curva_Temp[Warranted Power Curve for 
1.194Kg/m3 air density '[kW']
SG 5.0-145 (AM 0, 5.0MW) AT 
90M],MATCH(TBL_CalcDarwin[[#This Row],[Darwin Temp.
°C]],Curva_Temp[Temp]))</f>
        <v>#N/A</v>
      </c>
      <c r="AA223" s="41" t="e" cm="1">
        <f t="array" ref="AA223">INDEX(Curva_Temp[Temp],MATCH(TBL_CalcDarwin[[#This Row],[Darwin Temp.
°C]],Curva_Temp[Temp])+1)</f>
        <v>#N/A</v>
      </c>
      <c r="AB223" s="41" t="e" cm="1">
        <f t="array" ref="AB223">INDEX(Curva_Temp[Warranted Power Curve for 
1.194Kg/m3 air density '[kW']
SG 5.0-145 (AM 0, 5.0MW) AT 
90M],MATCH(TBL_CalcDarwin[[#This Row],[Darwin Temp.
°C]],Curva_Temp[Temp])+1)</f>
        <v>#N/A</v>
      </c>
      <c r="AC223" s="45">
        <f>HLOOKUP(TBL_CalcDarwin[[#This Row],[Fecha]],'Plantilla AEG ES'!$E$1:$HX$13,2,FALSE)</f>
        <v>5</v>
      </c>
      <c r="AD223" s="45">
        <f>HLOOKUP(TBL_CalcDarwin[[#This Row],[Fecha]],'Plantilla AEG ES'!$E$1:$HX$13,3,FALSE)</f>
        <v>7</v>
      </c>
      <c r="AE223" s="45">
        <f>HLOOKUP(TBL_CalcDarwin[[#This Row],[Fecha]],'Plantilla AEG ES'!$E$1:$HX$13,4,FALSE)</f>
        <v>11</v>
      </c>
      <c r="AF223" s="45">
        <f>HLOOKUP(TBL_CalcDarwin[[#This Row],[Fecha]],'Plantilla AEG ES'!$E$1:$HX$13,5,FALSE)</f>
        <v>1</v>
      </c>
      <c r="AG223" s="45">
        <f>HLOOKUP(TBL_CalcDarwin[[#This Row],[Fecha]],'Plantilla AEG ES'!$E$1:$HX$13,6,FALSE)</f>
        <v>1</v>
      </c>
      <c r="AH223" s="45">
        <f>HLOOKUP(TBL_CalcDarwin[[#This Row],[Fecha]],'Plantilla AEG ES'!$E$1:$HX$13,7,FALSE)</f>
        <v>0</v>
      </c>
      <c r="AI223" s="46">
        <f>HLOOKUP(TBL_CalcDarwin[[#This Row],[Fecha]],'Plantilla AEG ES'!$E$1:$HX$13,8,FALSE)</f>
        <v>0</v>
      </c>
      <c r="AJ223" s="46">
        <f>HLOOKUP(TBL_CalcDarwin[[#This Row],[Fecha]],'Plantilla AEG ES'!$E$1:$HX$13,9,FALSE)</f>
        <v>3</v>
      </c>
      <c r="AK223" s="46">
        <f>HLOOKUP(TBL_CalcDarwin[[#This Row],[Fecha]],'Plantilla AEG ES'!$E$1:$HX$13,10,FALSE)</f>
        <v>12</v>
      </c>
      <c r="AL223" s="46">
        <f>HLOOKUP(TBL_CalcDarwin[[#This Row],[Fecha]],'Plantilla AEG ES'!$E$1:$HX$13,11,FALSE)</f>
        <v>1</v>
      </c>
      <c r="AM223" s="46">
        <f>HLOOKUP(TBL_CalcDarwin[[#This Row],[Fecha]],'Plantilla AEG ES'!$E$1:$HX$13,12,FALSE)</f>
        <v>7</v>
      </c>
      <c r="AN223" s="46">
        <f>HLOOKUP(TBL_CalcDarwin[[#This Row],[Fecha]],'Plantilla AEG ES'!$E$1:$HX$13,13,FALSE)</f>
        <v>1</v>
      </c>
      <c r="AO223" s="37">
        <f>TBL_CalcDarwin[[#This Row],[Lomitas - Barra A - 5.2 - Cerro]]+TBL_CalcDarwin[[#This Row],[Lomitas - Barra A - 5.2 - Medio]]+TBL_CalcDarwin[[#This Row],[Lomitas - Barra A - 5.2 - Mar]]</f>
        <v>23</v>
      </c>
      <c r="AP2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3" s="37">
        <f>TBL_CalcDarwin[[#This Row],[Expansión - Barra A - 5.2 - Cerro]]+TBL_CalcDarwin[[#This Row],[Expansión - Barra A - 5.2 - Medio]]+TBL_CalcDarwin[[#This Row],[Expansión - Barra A - 5.2 - Mar]]</f>
        <v>2</v>
      </c>
      <c r="AT223" s="37">
        <f>TBL_CalcDarwin[[#This Row],[Expansión - Barra B - 5.2 - Cerro]]</f>
        <v>1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3" s="29" t="e">
        <f>TBL_CalcDarwin[[#This Row],[Expansión - Barra B - 5.2 - Cerro]]*TBL_CalcDarwin[[#This Row],[AEG 5.2 MW Cerro]]</f>
        <v>#N/A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5">
        <f t="shared" si="19"/>
        <v>45593.249999999469</v>
      </c>
      <c r="C224" s="17">
        <f t="shared" si="22"/>
        <v>9.2500000000000036</v>
      </c>
      <c r="D224" s="34" t="e">
        <f>TBL_CalcDarwin[[#This Row],[Darwin PLOM
MW]]+TBL_CalcDarwin[[#This Row],[Darwin PLOME
MW]]</f>
        <v>#N/A</v>
      </c>
      <c r="E224" s="34" t="e">
        <f>TBL_CalcDarwin[[#This Row],[PLOM MW TOTAL BARRA A]]+TBL_CalcDarwin[[#This Row],[PLOM MW TOTAL BARRA B]]</f>
        <v>#N/A</v>
      </c>
      <c r="F224" s="34" t="e">
        <f>TBL_CalcDarwin[[#This Row],[PLOME MW TOTAL BARRA A]]+TBL_CalcDarwin[[#This Row],[PLOME MW TOTAL BARRA B]]</f>
        <v>#N/A</v>
      </c>
      <c r="G224" s="48">
        <f>'Plantilla Datos'!D229</f>
        <v>0</v>
      </c>
      <c r="H224" s="48">
        <f>'Plantilla Datos'!E229</f>
        <v>0</v>
      </c>
      <c r="I224" s="49">
        <f>'Plantilla Datos'!F229</f>
        <v>0</v>
      </c>
      <c r="J224" s="47">
        <f>CEILING('Plantilla Datos'!$L$3*TBL_CalcDarwin[[#This Row],[Darwin Gusts
m/s]],0.5)</f>
        <v>0</v>
      </c>
      <c r="K224" s="47">
        <f>CEILING('Plantilla Datos'!$L$4*TBL_CalcDarwin[[#This Row],[Darwin Gusts
m/s]],0.5)</f>
        <v>0</v>
      </c>
      <c r="L224" s="47">
        <f>CEILING(TBL_CalcDarwin[[#This Row],[Darwin Gusts
m/s]],0.5)</f>
        <v>0</v>
      </c>
      <c r="M22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4" s="41" t="e">
        <f>INDEX(Curva_Temp[Temp],MATCH(TBL_CalcDarwin[[#This Row],[Darwin Temp.
°C]],Curva_Temp[Temp]))</f>
        <v>#N/A</v>
      </c>
      <c r="R224" s="41" t="e">
        <f>INDEX(Curva_Temp[Warranted Power Curve for 
1.194Kg/m3 air density '[kW']
SG 5.0-145 (AM+1, 5.2MW) AT 
90M],MATCH(TBL_CalcDarwin[[#This Row],[Darwin Temp.
°C]],Curva_Temp[Temp]))</f>
        <v>#N/A</v>
      </c>
      <c r="S224" s="41" t="e" cm="1">
        <f t="array" ref="S224">INDEX(Curva_Temp[Temp],MATCH(TBL_CalcDarwin[[#This Row],[Darwin Temp.
°C]],Curva_Temp[Temp])+1)</f>
        <v>#N/A</v>
      </c>
      <c r="T224" s="41" t="e" cm="1">
        <f t="array" ref="T224">INDEX(Curva_Temp[Warranted Power Curve for 
1.194Kg/m3 air density '[kW']
SG 5.0-145 (AM+1, 5.2MW) AT 
90M],MATCH(TBL_CalcDarwin[[#This Row],[Darwin Temp.
°C]],Curva_Temp[Temp])+1)</f>
        <v>#N/A</v>
      </c>
      <c r="U22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4" s="41" t="e">
        <f>INDEX(Curva_Temp[Temp],MATCH(TBL_CalcDarwin[[#This Row],[Darwin Temp.
°C]],Curva_Temp[Temp]))</f>
        <v>#N/A</v>
      </c>
      <c r="Z224" s="41" t="e">
        <f>INDEX(Curva_Temp[Warranted Power Curve for 
1.194Kg/m3 air density '[kW']
SG 5.0-145 (AM 0, 5.0MW) AT 
90M],MATCH(TBL_CalcDarwin[[#This Row],[Darwin Temp.
°C]],Curva_Temp[Temp]))</f>
        <v>#N/A</v>
      </c>
      <c r="AA224" s="41" t="e" cm="1">
        <f t="array" ref="AA224">INDEX(Curva_Temp[Temp],MATCH(TBL_CalcDarwin[[#This Row],[Darwin Temp.
°C]],Curva_Temp[Temp])+1)</f>
        <v>#N/A</v>
      </c>
      <c r="AB224" s="41" t="e" cm="1">
        <f t="array" ref="AB224">INDEX(Curva_Temp[Warranted Power Curve for 
1.194Kg/m3 air density '[kW']
SG 5.0-145 (AM 0, 5.0MW) AT 
90M],MATCH(TBL_CalcDarwin[[#This Row],[Darwin Temp.
°C]],Curva_Temp[Temp])+1)</f>
        <v>#N/A</v>
      </c>
      <c r="AC224" s="45">
        <f>HLOOKUP(TBL_CalcDarwin[[#This Row],[Fecha]],'Plantilla AEG ES'!$E$1:$HX$13,2,FALSE)</f>
        <v>5</v>
      </c>
      <c r="AD224" s="45">
        <f>HLOOKUP(TBL_CalcDarwin[[#This Row],[Fecha]],'Plantilla AEG ES'!$E$1:$HX$13,3,FALSE)</f>
        <v>7</v>
      </c>
      <c r="AE224" s="45">
        <f>HLOOKUP(TBL_CalcDarwin[[#This Row],[Fecha]],'Plantilla AEG ES'!$E$1:$HX$13,4,FALSE)</f>
        <v>11</v>
      </c>
      <c r="AF224" s="45">
        <f>HLOOKUP(TBL_CalcDarwin[[#This Row],[Fecha]],'Plantilla AEG ES'!$E$1:$HX$13,5,FALSE)</f>
        <v>1</v>
      </c>
      <c r="AG224" s="45">
        <f>HLOOKUP(TBL_CalcDarwin[[#This Row],[Fecha]],'Plantilla AEG ES'!$E$1:$HX$13,6,FALSE)</f>
        <v>1</v>
      </c>
      <c r="AH224" s="45">
        <f>HLOOKUP(TBL_CalcDarwin[[#This Row],[Fecha]],'Plantilla AEG ES'!$E$1:$HX$13,7,FALSE)</f>
        <v>0</v>
      </c>
      <c r="AI224" s="46">
        <f>HLOOKUP(TBL_CalcDarwin[[#This Row],[Fecha]],'Plantilla AEG ES'!$E$1:$HX$13,8,FALSE)</f>
        <v>0</v>
      </c>
      <c r="AJ224" s="46">
        <f>HLOOKUP(TBL_CalcDarwin[[#This Row],[Fecha]],'Plantilla AEG ES'!$E$1:$HX$13,9,FALSE)</f>
        <v>3</v>
      </c>
      <c r="AK224" s="46">
        <f>HLOOKUP(TBL_CalcDarwin[[#This Row],[Fecha]],'Plantilla AEG ES'!$E$1:$HX$13,10,FALSE)</f>
        <v>12</v>
      </c>
      <c r="AL224" s="46">
        <f>HLOOKUP(TBL_CalcDarwin[[#This Row],[Fecha]],'Plantilla AEG ES'!$E$1:$HX$13,11,FALSE)</f>
        <v>1</v>
      </c>
      <c r="AM224" s="46">
        <f>HLOOKUP(TBL_CalcDarwin[[#This Row],[Fecha]],'Plantilla AEG ES'!$E$1:$HX$13,12,FALSE)</f>
        <v>7</v>
      </c>
      <c r="AN224" s="46">
        <f>HLOOKUP(TBL_CalcDarwin[[#This Row],[Fecha]],'Plantilla AEG ES'!$E$1:$HX$13,13,FALSE)</f>
        <v>1</v>
      </c>
      <c r="AO224" s="37">
        <f>TBL_CalcDarwin[[#This Row],[Lomitas - Barra A - 5.2 - Cerro]]+TBL_CalcDarwin[[#This Row],[Lomitas - Barra A - 5.2 - Medio]]+TBL_CalcDarwin[[#This Row],[Lomitas - Barra A - 5.2 - Mar]]</f>
        <v>23</v>
      </c>
      <c r="AP2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4" s="37">
        <f>TBL_CalcDarwin[[#This Row],[Expansión - Barra A - 5.2 - Cerro]]+TBL_CalcDarwin[[#This Row],[Expansión - Barra A - 5.2 - Medio]]+TBL_CalcDarwin[[#This Row],[Expansión - Barra A - 5.2 - Mar]]</f>
        <v>2</v>
      </c>
      <c r="AT224" s="37">
        <f>TBL_CalcDarwin[[#This Row],[Expansión - Barra B - 5.2 - Cerro]]</f>
        <v>1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4" s="29" t="e">
        <f>TBL_CalcDarwin[[#This Row],[Expansión - Barra B - 5.2 - Cerro]]*TBL_CalcDarwin[[#This Row],[AEG 5.2 MW Cerro]]</f>
        <v>#N/A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5">
        <f t="shared" si="19"/>
        <v>45593.291666666133</v>
      </c>
      <c r="C225" s="17">
        <f t="shared" si="22"/>
        <v>9.2916666666666696</v>
      </c>
      <c r="D225" s="34" t="e">
        <f>TBL_CalcDarwin[[#This Row],[Darwin PLOM
MW]]+TBL_CalcDarwin[[#This Row],[Darwin PLOME
MW]]</f>
        <v>#N/A</v>
      </c>
      <c r="E225" s="34" t="e">
        <f>TBL_CalcDarwin[[#This Row],[PLOM MW TOTAL BARRA A]]+TBL_CalcDarwin[[#This Row],[PLOM MW TOTAL BARRA B]]</f>
        <v>#N/A</v>
      </c>
      <c r="F225" s="34" t="e">
        <f>TBL_CalcDarwin[[#This Row],[PLOME MW TOTAL BARRA A]]+TBL_CalcDarwin[[#This Row],[PLOME MW TOTAL BARRA B]]</f>
        <v>#N/A</v>
      </c>
      <c r="G225" s="48">
        <f>'Plantilla Datos'!D230</f>
        <v>0</v>
      </c>
      <c r="H225" s="48">
        <f>'Plantilla Datos'!E230</f>
        <v>0</v>
      </c>
      <c r="I225" s="49">
        <f>'Plantilla Datos'!F230</f>
        <v>0</v>
      </c>
      <c r="J225" s="47">
        <f>CEILING('Plantilla Datos'!$L$3*TBL_CalcDarwin[[#This Row],[Darwin Gusts
m/s]],0.5)</f>
        <v>0</v>
      </c>
      <c r="K225" s="47">
        <f>CEILING('Plantilla Datos'!$L$4*TBL_CalcDarwin[[#This Row],[Darwin Gusts
m/s]],0.5)</f>
        <v>0</v>
      </c>
      <c r="L225" s="47">
        <f>CEILING(TBL_CalcDarwin[[#This Row],[Darwin Gusts
m/s]],0.5)</f>
        <v>0</v>
      </c>
      <c r="M22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5" s="41" t="e">
        <f>INDEX(Curva_Temp[Temp],MATCH(TBL_CalcDarwin[[#This Row],[Darwin Temp.
°C]],Curva_Temp[Temp]))</f>
        <v>#N/A</v>
      </c>
      <c r="R225" s="41" t="e">
        <f>INDEX(Curva_Temp[Warranted Power Curve for 
1.194Kg/m3 air density '[kW']
SG 5.0-145 (AM+1, 5.2MW) AT 
90M],MATCH(TBL_CalcDarwin[[#This Row],[Darwin Temp.
°C]],Curva_Temp[Temp]))</f>
        <v>#N/A</v>
      </c>
      <c r="S225" s="41" t="e" cm="1">
        <f t="array" ref="S225">INDEX(Curva_Temp[Temp],MATCH(TBL_CalcDarwin[[#This Row],[Darwin Temp.
°C]],Curva_Temp[Temp])+1)</f>
        <v>#N/A</v>
      </c>
      <c r="T225" s="41" t="e" cm="1">
        <f t="array" ref="T225">INDEX(Curva_Temp[Warranted Power Curve for 
1.194Kg/m3 air density '[kW']
SG 5.0-145 (AM+1, 5.2MW) AT 
90M],MATCH(TBL_CalcDarwin[[#This Row],[Darwin Temp.
°C]],Curva_Temp[Temp])+1)</f>
        <v>#N/A</v>
      </c>
      <c r="U22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5" s="41" t="e">
        <f>INDEX(Curva_Temp[Temp],MATCH(TBL_CalcDarwin[[#This Row],[Darwin Temp.
°C]],Curva_Temp[Temp]))</f>
        <v>#N/A</v>
      </c>
      <c r="Z225" s="41" t="e">
        <f>INDEX(Curva_Temp[Warranted Power Curve for 
1.194Kg/m3 air density '[kW']
SG 5.0-145 (AM 0, 5.0MW) AT 
90M],MATCH(TBL_CalcDarwin[[#This Row],[Darwin Temp.
°C]],Curva_Temp[Temp]))</f>
        <v>#N/A</v>
      </c>
      <c r="AA225" s="41" t="e" cm="1">
        <f t="array" ref="AA225">INDEX(Curva_Temp[Temp],MATCH(TBL_CalcDarwin[[#This Row],[Darwin Temp.
°C]],Curva_Temp[Temp])+1)</f>
        <v>#N/A</v>
      </c>
      <c r="AB225" s="41" t="e" cm="1">
        <f t="array" ref="AB225">INDEX(Curva_Temp[Warranted Power Curve for 
1.194Kg/m3 air density '[kW']
SG 5.0-145 (AM 0, 5.0MW) AT 
90M],MATCH(TBL_CalcDarwin[[#This Row],[Darwin Temp.
°C]],Curva_Temp[Temp])+1)</f>
        <v>#N/A</v>
      </c>
      <c r="AC225" s="45">
        <f>HLOOKUP(TBL_CalcDarwin[[#This Row],[Fecha]],'Plantilla AEG ES'!$E$1:$HX$13,2,FALSE)</f>
        <v>5</v>
      </c>
      <c r="AD225" s="45">
        <f>HLOOKUP(TBL_CalcDarwin[[#This Row],[Fecha]],'Plantilla AEG ES'!$E$1:$HX$13,3,FALSE)</f>
        <v>7</v>
      </c>
      <c r="AE225" s="45">
        <f>HLOOKUP(TBL_CalcDarwin[[#This Row],[Fecha]],'Plantilla AEG ES'!$E$1:$HX$13,4,FALSE)</f>
        <v>11</v>
      </c>
      <c r="AF225" s="45">
        <f>HLOOKUP(TBL_CalcDarwin[[#This Row],[Fecha]],'Plantilla AEG ES'!$E$1:$HX$13,5,FALSE)</f>
        <v>1</v>
      </c>
      <c r="AG225" s="45">
        <f>HLOOKUP(TBL_CalcDarwin[[#This Row],[Fecha]],'Plantilla AEG ES'!$E$1:$HX$13,6,FALSE)</f>
        <v>1</v>
      </c>
      <c r="AH225" s="45">
        <f>HLOOKUP(TBL_CalcDarwin[[#This Row],[Fecha]],'Plantilla AEG ES'!$E$1:$HX$13,7,FALSE)</f>
        <v>0</v>
      </c>
      <c r="AI225" s="46">
        <f>HLOOKUP(TBL_CalcDarwin[[#This Row],[Fecha]],'Plantilla AEG ES'!$E$1:$HX$13,8,FALSE)</f>
        <v>0</v>
      </c>
      <c r="AJ225" s="46">
        <f>HLOOKUP(TBL_CalcDarwin[[#This Row],[Fecha]],'Plantilla AEG ES'!$E$1:$HX$13,9,FALSE)</f>
        <v>3</v>
      </c>
      <c r="AK225" s="46">
        <f>HLOOKUP(TBL_CalcDarwin[[#This Row],[Fecha]],'Plantilla AEG ES'!$E$1:$HX$13,10,FALSE)</f>
        <v>12</v>
      </c>
      <c r="AL225" s="46">
        <f>HLOOKUP(TBL_CalcDarwin[[#This Row],[Fecha]],'Plantilla AEG ES'!$E$1:$HX$13,11,FALSE)</f>
        <v>1</v>
      </c>
      <c r="AM225" s="46">
        <f>HLOOKUP(TBL_CalcDarwin[[#This Row],[Fecha]],'Plantilla AEG ES'!$E$1:$HX$13,12,FALSE)</f>
        <v>7</v>
      </c>
      <c r="AN225" s="46">
        <f>HLOOKUP(TBL_CalcDarwin[[#This Row],[Fecha]],'Plantilla AEG ES'!$E$1:$HX$13,13,FALSE)</f>
        <v>1</v>
      </c>
      <c r="AO225" s="37">
        <f>TBL_CalcDarwin[[#This Row],[Lomitas - Barra A - 5.2 - Cerro]]+TBL_CalcDarwin[[#This Row],[Lomitas - Barra A - 5.2 - Medio]]+TBL_CalcDarwin[[#This Row],[Lomitas - Barra A - 5.2 - Mar]]</f>
        <v>23</v>
      </c>
      <c r="AP2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5" s="37">
        <f>TBL_CalcDarwin[[#This Row],[Expansión - Barra A - 5.2 - Cerro]]+TBL_CalcDarwin[[#This Row],[Expansión - Barra A - 5.2 - Medio]]+TBL_CalcDarwin[[#This Row],[Expansión - Barra A - 5.2 - Mar]]</f>
        <v>2</v>
      </c>
      <c r="AT225" s="37">
        <f>TBL_CalcDarwin[[#This Row],[Expansión - Barra B - 5.2 - Cerro]]</f>
        <v>1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5" s="29" t="e">
        <f>TBL_CalcDarwin[[#This Row],[Expansión - Barra B - 5.2 - Cerro]]*TBL_CalcDarwin[[#This Row],[AEG 5.2 MW Cerro]]</f>
        <v>#N/A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5">
        <f t="shared" si="19"/>
        <v>45593.333333332797</v>
      </c>
      <c r="C226" s="17">
        <f t="shared" si="22"/>
        <v>9.3333333333333357</v>
      </c>
      <c r="D226" s="34" t="e">
        <f>TBL_CalcDarwin[[#This Row],[Darwin PLOM
MW]]+TBL_CalcDarwin[[#This Row],[Darwin PLOME
MW]]</f>
        <v>#N/A</v>
      </c>
      <c r="E226" s="34" t="e">
        <f>TBL_CalcDarwin[[#This Row],[PLOM MW TOTAL BARRA A]]+TBL_CalcDarwin[[#This Row],[PLOM MW TOTAL BARRA B]]</f>
        <v>#N/A</v>
      </c>
      <c r="F226" s="34" t="e">
        <f>TBL_CalcDarwin[[#This Row],[PLOME MW TOTAL BARRA A]]+TBL_CalcDarwin[[#This Row],[PLOME MW TOTAL BARRA B]]</f>
        <v>#N/A</v>
      </c>
      <c r="G226" s="48">
        <f>'Plantilla Datos'!D231</f>
        <v>0</v>
      </c>
      <c r="H226" s="48">
        <f>'Plantilla Datos'!E231</f>
        <v>0</v>
      </c>
      <c r="I226" s="49">
        <f>'Plantilla Datos'!F231</f>
        <v>0</v>
      </c>
      <c r="J226" s="47">
        <f>CEILING('Plantilla Datos'!$L$3*TBL_CalcDarwin[[#This Row],[Darwin Gusts
m/s]],0.5)</f>
        <v>0</v>
      </c>
      <c r="K226" s="47">
        <f>CEILING('Plantilla Datos'!$L$4*TBL_CalcDarwin[[#This Row],[Darwin Gusts
m/s]],0.5)</f>
        <v>0</v>
      </c>
      <c r="L226" s="47">
        <f>CEILING(TBL_CalcDarwin[[#This Row],[Darwin Gusts
m/s]],0.5)</f>
        <v>0</v>
      </c>
      <c r="M22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6" s="41" t="e">
        <f>INDEX(Curva_Temp[Temp],MATCH(TBL_CalcDarwin[[#This Row],[Darwin Temp.
°C]],Curva_Temp[Temp]))</f>
        <v>#N/A</v>
      </c>
      <c r="R226" s="41" t="e">
        <f>INDEX(Curva_Temp[Warranted Power Curve for 
1.194Kg/m3 air density '[kW']
SG 5.0-145 (AM+1, 5.2MW) AT 
90M],MATCH(TBL_CalcDarwin[[#This Row],[Darwin Temp.
°C]],Curva_Temp[Temp]))</f>
        <v>#N/A</v>
      </c>
      <c r="S226" s="41" t="e" cm="1">
        <f t="array" ref="S226">INDEX(Curva_Temp[Temp],MATCH(TBL_CalcDarwin[[#This Row],[Darwin Temp.
°C]],Curva_Temp[Temp])+1)</f>
        <v>#N/A</v>
      </c>
      <c r="T226" s="41" t="e" cm="1">
        <f t="array" ref="T226">INDEX(Curva_Temp[Warranted Power Curve for 
1.194Kg/m3 air density '[kW']
SG 5.0-145 (AM+1, 5.2MW) AT 
90M],MATCH(TBL_CalcDarwin[[#This Row],[Darwin Temp.
°C]],Curva_Temp[Temp])+1)</f>
        <v>#N/A</v>
      </c>
      <c r="U22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6" s="41" t="e">
        <f>INDEX(Curva_Temp[Temp],MATCH(TBL_CalcDarwin[[#This Row],[Darwin Temp.
°C]],Curva_Temp[Temp]))</f>
        <v>#N/A</v>
      </c>
      <c r="Z226" s="41" t="e">
        <f>INDEX(Curva_Temp[Warranted Power Curve for 
1.194Kg/m3 air density '[kW']
SG 5.0-145 (AM 0, 5.0MW) AT 
90M],MATCH(TBL_CalcDarwin[[#This Row],[Darwin Temp.
°C]],Curva_Temp[Temp]))</f>
        <v>#N/A</v>
      </c>
      <c r="AA226" s="41" t="e" cm="1">
        <f t="array" ref="AA226">INDEX(Curva_Temp[Temp],MATCH(TBL_CalcDarwin[[#This Row],[Darwin Temp.
°C]],Curva_Temp[Temp])+1)</f>
        <v>#N/A</v>
      </c>
      <c r="AB226" s="41" t="e" cm="1">
        <f t="array" ref="AB226">INDEX(Curva_Temp[Warranted Power Curve for 
1.194Kg/m3 air density '[kW']
SG 5.0-145 (AM 0, 5.0MW) AT 
90M],MATCH(TBL_CalcDarwin[[#This Row],[Darwin Temp.
°C]],Curva_Temp[Temp])+1)</f>
        <v>#N/A</v>
      </c>
      <c r="AC226" s="45">
        <f>HLOOKUP(TBL_CalcDarwin[[#This Row],[Fecha]],'Plantilla AEG ES'!$E$1:$HX$13,2,FALSE)</f>
        <v>5</v>
      </c>
      <c r="AD226" s="45">
        <f>HLOOKUP(TBL_CalcDarwin[[#This Row],[Fecha]],'Plantilla AEG ES'!$E$1:$HX$13,3,FALSE)</f>
        <v>7</v>
      </c>
      <c r="AE226" s="45">
        <f>HLOOKUP(TBL_CalcDarwin[[#This Row],[Fecha]],'Plantilla AEG ES'!$E$1:$HX$13,4,FALSE)</f>
        <v>11</v>
      </c>
      <c r="AF226" s="45">
        <f>HLOOKUP(TBL_CalcDarwin[[#This Row],[Fecha]],'Plantilla AEG ES'!$E$1:$HX$13,5,FALSE)</f>
        <v>1</v>
      </c>
      <c r="AG226" s="45">
        <f>HLOOKUP(TBL_CalcDarwin[[#This Row],[Fecha]],'Plantilla AEG ES'!$E$1:$HX$13,6,FALSE)</f>
        <v>1</v>
      </c>
      <c r="AH226" s="45">
        <f>HLOOKUP(TBL_CalcDarwin[[#This Row],[Fecha]],'Plantilla AEG ES'!$E$1:$HX$13,7,FALSE)</f>
        <v>0</v>
      </c>
      <c r="AI226" s="46">
        <f>HLOOKUP(TBL_CalcDarwin[[#This Row],[Fecha]],'Plantilla AEG ES'!$E$1:$HX$13,8,FALSE)</f>
        <v>0</v>
      </c>
      <c r="AJ226" s="46">
        <f>HLOOKUP(TBL_CalcDarwin[[#This Row],[Fecha]],'Plantilla AEG ES'!$E$1:$HX$13,9,FALSE)</f>
        <v>3</v>
      </c>
      <c r="AK226" s="46">
        <f>HLOOKUP(TBL_CalcDarwin[[#This Row],[Fecha]],'Plantilla AEG ES'!$E$1:$HX$13,10,FALSE)</f>
        <v>12</v>
      </c>
      <c r="AL226" s="46">
        <f>HLOOKUP(TBL_CalcDarwin[[#This Row],[Fecha]],'Plantilla AEG ES'!$E$1:$HX$13,11,FALSE)</f>
        <v>1</v>
      </c>
      <c r="AM226" s="46">
        <f>HLOOKUP(TBL_CalcDarwin[[#This Row],[Fecha]],'Plantilla AEG ES'!$E$1:$HX$13,12,FALSE)</f>
        <v>7</v>
      </c>
      <c r="AN226" s="46">
        <f>HLOOKUP(TBL_CalcDarwin[[#This Row],[Fecha]],'Plantilla AEG ES'!$E$1:$HX$13,13,FALSE)</f>
        <v>1</v>
      </c>
      <c r="AO226" s="37">
        <f>TBL_CalcDarwin[[#This Row],[Lomitas - Barra A - 5.2 - Cerro]]+TBL_CalcDarwin[[#This Row],[Lomitas - Barra A - 5.2 - Medio]]+TBL_CalcDarwin[[#This Row],[Lomitas - Barra A - 5.2 - Mar]]</f>
        <v>23</v>
      </c>
      <c r="AP2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6" s="37">
        <f>TBL_CalcDarwin[[#This Row],[Expansión - Barra A - 5.2 - Cerro]]+TBL_CalcDarwin[[#This Row],[Expansión - Barra A - 5.2 - Medio]]+TBL_CalcDarwin[[#This Row],[Expansión - Barra A - 5.2 - Mar]]</f>
        <v>2</v>
      </c>
      <c r="AT226" s="37">
        <f>TBL_CalcDarwin[[#This Row],[Expansión - Barra B - 5.2 - Cerro]]</f>
        <v>1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6" s="29" t="e">
        <f>TBL_CalcDarwin[[#This Row],[Expansión - Barra B - 5.2 - Cerro]]*TBL_CalcDarwin[[#This Row],[AEG 5.2 MW Cerro]]</f>
        <v>#N/A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5">
        <f t="shared" si="19"/>
        <v>45593.374999999462</v>
      </c>
      <c r="C227" s="17">
        <f t="shared" si="22"/>
        <v>9.3750000000000018</v>
      </c>
      <c r="D227" s="34" t="e">
        <f>TBL_CalcDarwin[[#This Row],[Darwin PLOM
MW]]+TBL_CalcDarwin[[#This Row],[Darwin PLOME
MW]]</f>
        <v>#N/A</v>
      </c>
      <c r="E227" s="34" t="e">
        <f>TBL_CalcDarwin[[#This Row],[PLOM MW TOTAL BARRA A]]+TBL_CalcDarwin[[#This Row],[PLOM MW TOTAL BARRA B]]</f>
        <v>#N/A</v>
      </c>
      <c r="F227" s="34" t="e">
        <f>TBL_CalcDarwin[[#This Row],[PLOME MW TOTAL BARRA A]]+TBL_CalcDarwin[[#This Row],[PLOME MW TOTAL BARRA B]]</f>
        <v>#N/A</v>
      </c>
      <c r="G227" s="48">
        <f>'Plantilla Datos'!D232</f>
        <v>0</v>
      </c>
      <c r="H227" s="48">
        <f>'Plantilla Datos'!E232</f>
        <v>0</v>
      </c>
      <c r="I227" s="49">
        <f>'Plantilla Datos'!F232</f>
        <v>0</v>
      </c>
      <c r="J227" s="47">
        <f>CEILING('Plantilla Datos'!$L$3*TBL_CalcDarwin[[#This Row],[Darwin Gusts
m/s]],0.5)</f>
        <v>0</v>
      </c>
      <c r="K227" s="47">
        <f>CEILING('Plantilla Datos'!$L$4*TBL_CalcDarwin[[#This Row],[Darwin Gusts
m/s]],0.5)</f>
        <v>0</v>
      </c>
      <c r="L227" s="47">
        <f>CEILING(TBL_CalcDarwin[[#This Row],[Darwin Gusts
m/s]],0.5)</f>
        <v>0</v>
      </c>
      <c r="M22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7" s="41" t="e">
        <f>INDEX(Curva_Temp[Temp],MATCH(TBL_CalcDarwin[[#This Row],[Darwin Temp.
°C]],Curva_Temp[Temp]))</f>
        <v>#N/A</v>
      </c>
      <c r="R227" s="41" t="e">
        <f>INDEX(Curva_Temp[Warranted Power Curve for 
1.194Kg/m3 air density '[kW']
SG 5.0-145 (AM+1, 5.2MW) AT 
90M],MATCH(TBL_CalcDarwin[[#This Row],[Darwin Temp.
°C]],Curva_Temp[Temp]))</f>
        <v>#N/A</v>
      </c>
      <c r="S227" s="41" t="e" cm="1">
        <f t="array" ref="S227">INDEX(Curva_Temp[Temp],MATCH(TBL_CalcDarwin[[#This Row],[Darwin Temp.
°C]],Curva_Temp[Temp])+1)</f>
        <v>#N/A</v>
      </c>
      <c r="T227" s="41" t="e" cm="1">
        <f t="array" ref="T227">INDEX(Curva_Temp[Warranted Power Curve for 
1.194Kg/m3 air density '[kW']
SG 5.0-145 (AM+1, 5.2MW) AT 
90M],MATCH(TBL_CalcDarwin[[#This Row],[Darwin Temp.
°C]],Curva_Temp[Temp])+1)</f>
        <v>#N/A</v>
      </c>
      <c r="U22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7" s="41" t="e">
        <f>INDEX(Curva_Temp[Temp],MATCH(TBL_CalcDarwin[[#This Row],[Darwin Temp.
°C]],Curva_Temp[Temp]))</f>
        <v>#N/A</v>
      </c>
      <c r="Z227" s="41" t="e">
        <f>INDEX(Curva_Temp[Warranted Power Curve for 
1.194Kg/m3 air density '[kW']
SG 5.0-145 (AM 0, 5.0MW) AT 
90M],MATCH(TBL_CalcDarwin[[#This Row],[Darwin Temp.
°C]],Curva_Temp[Temp]))</f>
        <v>#N/A</v>
      </c>
      <c r="AA227" s="41" t="e" cm="1">
        <f t="array" ref="AA227">INDEX(Curva_Temp[Temp],MATCH(TBL_CalcDarwin[[#This Row],[Darwin Temp.
°C]],Curva_Temp[Temp])+1)</f>
        <v>#N/A</v>
      </c>
      <c r="AB227" s="41" t="e" cm="1">
        <f t="array" ref="AB227">INDEX(Curva_Temp[Warranted Power Curve for 
1.194Kg/m3 air density '[kW']
SG 5.0-145 (AM 0, 5.0MW) AT 
90M],MATCH(TBL_CalcDarwin[[#This Row],[Darwin Temp.
°C]],Curva_Temp[Temp])+1)</f>
        <v>#N/A</v>
      </c>
      <c r="AC227" s="45">
        <f>HLOOKUP(TBL_CalcDarwin[[#This Row],[Fecha]],'Plantilla AEG ES'!$E$1:$HX$13,2,FALSE)</f>
        <v>5</v>
      </c>
      <c r="AD227" s="45">
        <f>HLOOKUP(TBL_CalcDarwin[[#This Row],[Fecha]],'Plantilla AEG ES'!$E$1:$HX$13,3,FALSE)</f>
        <v>7</v>
      </c>
      <c r="AE227" s="45">
        <f>HLOOKUP(TBL_CalcDarwin[[#This Row],[Fecha]],'Plantilla AEG ES'!$E$1:$HX$13,4,FALSE)</f>
        <v>11</v>
      </c>
      <c r="AF227" s="45">
        <f>HLOOKUP(TBL_CalcDarwin[[#This Row],[Fecha]],'Plantilla AEG ES'!$E$1:$HX$13,5,FALSE)</f>
        <v>1</v>
      </c>
      <c r="AG227" s="45">
        <f>HLOOKUP(TBL_CalcDarwin[[#This Row],[Fecha]],'Plantilla AEG ES'!$E$1:$HX$13,6,FALSE)</f>
        <v>1</v>
      </c>
      <c r="AH227" s="45">
        <f>HLOOKUP(TBL_CalcDarwin[[#This Row],[Fecha]],'Plantilla AEG ES'!$E$1:$HX$13,7,FALSE)</f>
        <v>0</v>
      </c>
      <c r="AI227" s="46">
        <f>HLOOKUP(TBL_CalcDarwin[[#This Row],[Fecha]],'Plantilla AEG ES'!$E$1:$HX$13,8,FALSE)</f>
        <v>0</v>
      </c>
      <c r="AJ227" s="46">
        <f>HLOOKUP(TBL_CalcDarwin[[#This Row],[Fecha]],'Plantilla AEG ES'!$E$1:$HX$13,9,FALSE)</f>
        <v>3</v>
      </c>
      <c r="AK227" s="46">
        <f>HLOOKUP(TBL_CalcDarwin[[#This Row],[Fecha]],'Plantilla AEG ES'!$E$1:$HX$13,10,FALSE)</f>
        <v>12</v>
      </c>
      <c r="AL227" s="46">
        <f>HLOOKUP(TBL_CalcDarwin[[#This Row],[Fecha]],'Plantilla AEG ES'!$E$1:$HX$13,11,FALSE)</f>
        <v>1</v>
      </c>
      <c r="AM227" s="46">
        <f>HLOOKUP(TBL_CalcDarwin[[#This Row],[Fecha]],'Plantilla AEG ES'!$E$1:$HX$13,12,FALSE)</f>
        <v>7</v>
      </c>
      <c r="AN227" s="46">
        <f>HLOOKUP(TBL_CalcDarwin[[#This Row],[Fecha]],'Plantilla AEG ES'!$E$1:$HX$13,13,FALSE)</f>
        <v>1</v>
      </c>
      <c r="AO227" s="37">
        <f>TBL_CalcDarwin[[#This Row],[Lomitas - Barra A - 5.2 - Cerro]]+TBL_CalcDarwin[[#This Row],[Lomitas - Barra A - 5.2 - Medio]]+TBL_CalcDarwin[[#This Row],[Lomitas - Barra A - 5.2 - Mar]]</f>
        <v>23</v>
      </c>
      <c r="AP2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7" s="37">
        <f>TBL_CalcDarwin[[#This Row],[Expansión - Barra A - 5.2 - Cerro]]+TBL_CalcDarwin[[#This Row],[Expansión - Barra A - 5.2 - Medio]]+TBL_CalcDarwin[[#This Row],[Expansión - Barra A - 5.2 - Mar]]</f>
        <v>2</v>
      </c>
      <c r="AT227" s="37">
        <f>TBL_CalcDarwin[[#This Row],[Expansión - Barra B - 5.2 - Cerro]]</f>
        <v>1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7" s="29" t="e">
        <f>TBL_CalcDarwin[[#This Row],[Expansión - Barra B - 5.2 - Cerro]]*TBL_CalcDarwin[[#This Row],[AEG 5.2 MW Cerro]]</f>
        <v>#N/A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5">
        <f t="shared" si="19"/>
        <v>45593.416666666126</v>
      </c>
      <c r="C228" s="17">
        <f t="shared" si="22"/>
        <v>9.4166666666666679</v>
      </c>
      <c r="D228" s="34" t="e">
        <f>TBL_CalcDarwin[[#This Row],[Darwin PLOM
MW]]+TBL_CalcDarwin[[#This Row],[Darwin PLOME
MW]]</f>
        <v>#N/A</v>
      </c>
      <c r="E228" s="34" t="e">
        <f>TBL_CalcDarwin[[#This Row],[PLOM MW TOTAL BARRA A]]+TBL_CalcDarwin[[#This Row],[PLOM MW TOTAL BARRA B]]</f>
        <v>#N/A</v>
      </c>
      <c r="F228" s="34" t="e">
        <f>TBL_CalcDarwin[[#This Row],[PLOME MW TOTAL BARRA A]]+TBL_CalcDarwin[[#This Row],[PLOME MW TOTAL BARRA B]]</f>
        <v>#N/A</v>
      </c>
      <c r="G228" s="48">
        <f>'Plantilla Datos'!D233</f>
        <v>0</v>
      </c>
      <c r="H228" s="48">
        <f>'Plantilla Datos'!E233</f>
        <v>0</v>
      </c>
      <c r="I228" s="49">
        <f>'Plantilla Datos'!F233</f>
        <v>0</v>
      </c>
      <c r="J228" s="47">
        <f>CEILING('Plantilla Datos'!$L$3*TBL_CalcDarwin[[#This Row],[Darwin Gusts
m/s]],0.5)</f>
        <v>0</v>
      </c>
      <c r="K228" s="47">
        <f>CEILING('Plantilla Datos'!$L$4*TBL_CalcDarwin[[#This Row],[Darwin Gusts
m/s]],0.5)</f>
        <v>0</v>
      </c>
      <c r="L228" s="47">
        <f>CEILING(TBL_CalcDarwin[[#This Row],[Darwin Gusts
m/s]],0.5)</f>
        <v>0</v>
      </c>
      <c r="M22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8" s="41" t="e">
        <f>INDEX(Curva_Temp[Temp],MATCH(TBL_CalcDarwin[[#This Row],[Darwin Temp.
°C]],Curva_Temp[Temp]))</f>
        <v>#N/A</v>
      </c>
      <c r="R228" s="41" t="e">
        <f>INDEX(Curva_Temp[Warranted Power Curve for 
1.194Kg/m3 air density '[kW']
SG 5.0-145 (AM+1, 5.2MW) AT 
90M],MATCH(TBL_CalcDarwin[[#This Row],[Darwin Temp.
°C]],Curva_Temp[Temp]))</f>
        <v>#N/A</v>
      </c>
      <c r="S228" s="41" t="e" cm="1">
        <f t="array" ref="S228">INDEX(Curva_Temp[Temp],MATCH(TBL_CalcDarwin[[#This Row],[Darwin Temp.
°C]],Curva_Temp[Temp])+1)</f>
        <v>#N/A</v>
      </c>
      <c r="T228" s="41" t="e" cm="1">
        <f t="array" ref="T228">INDEX(Curva_Temp[Warranted Power Curve for 
1.194Kg/m3 air density '[kW']
SG 5.0-145 (AM+1, 5.2MW) AT 
90M],MATCH(TBL_CalcDarwin[[#This Row],[Darwin Temp.
°C]],Curva_Temp[Temp])+1)</f>
        <v>#N/A</v>
      </c>
      <c r="U22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8" s="41" t="e">
        <f>INDEX(Curva_Temp[Temp],MATCH(TBL_CalcDarwin[[#This Row],[Darwin Temp.
°C]],Curva_Temp[Temp]))</f>
        <v>#N/A</v>
      </c>
      <c r="Z228" s="41" t="e">
        <f>INDEX(Curva_Temp[Warranted Power Curve for 
1.194Kg/m3 air density '[kW']
SG 5.0-145 (AM 0, 5.0MW) AT 
90M],MATCH(TBL_CalcDarwin[[#This Row],[Darwin Temp.
°C]],Curva_Temp[Temp]))</f>
        <v>#N/A</v>
      </c>
      <c r="AA228" s="41" t="e" cm="1">
        <f t="array" ref="AA228">INDEX(Curva_Temp[Temp],MATCH(TBL_CalcDarwin[[#This Row],[Darwin Temp.
°C]],Curva_Temp[Temp])+1)</f>
        <v>#N/A</v>
      </c>
      <c r="AB228" s="41" t="e" cm="1">
        <f t="array" ref="AB228">INDEX(Curva_Temp[Warranted Power Curve for 
1.194Kg/m3 air density '[kW']
SG 5.0-145 (AM 0, 5.0MW) AT 
90M],MATCH(TBL_CalcDarwin[[#This Row],[Darwin Temp.
°C]],Curva_Temp[Temp])+1)</f>
        <v>#N/A</v>
      </c>
      <c r="AC228" s="45">
        <f>HLOOKUP(TBL_CalcDarwin[[#This Row],[Fecha]],'Plantilla AEG ES'!$E$1:$HX$13,2,FALSE)</f>
        <v>5</v>
      </c>
      <c r="AD228" s="45">
        <f>HLOOKUP(TBL_CalcDarwin[[#This Row],[Fecha]],'Plantilla AEG ES'!$E$1:$HX$13,3,FALSE)</f>
        <v>7</v>
      </c>
      <c r="AE228" s="45">
        <f>HLOOKUP(TBL_CalcDarwin[[#This Row],[Fecha]],'Plantilla AEG ES'!$E$1:$HX$13,4,FALSE)</f>
        <v>11</v>
      </c>
      <c r="AF228" s="45">
        <f>HLOOKUP(TBL_CalcDarwin[[#This Row],[Fecha]],'Plantilla AEG ES'!$E$1:$HX$13,5,FALSE)</f>
        <v>1</v>
      </c>
      <c r="AG228" s="45">
        <f>HLOOKUP(TBL_CalcDarwin[[#This Row],[Fecha]],'Plantilla AEG ES'!$E$1:$HX$13,6,FALSE)</f>
        <v>1</v>
      </c>
      <c r="AH228" s="45">
        <f>HLOOKUP(TBL_CalcDarwin[[#This Row],[Fecha]],'Plantilla AEG ES'!$E$1:$HX$13,7,FALSE)</f>
        <v>0</v>
      </c>
      <c r="AI228" s="46">
        <f>HLOOKUP(TBL_CalcDarwin[[#This Row],[Fecha]],'Plantilla AEG ES'!$E$1:$HX$13,8,FALSE)</f>
        <v>0</v>
      </c>
      <c r="AJ228" s="46">
        <f>HLOOKUP(TBL_CalcDarwin[[#This Row],[Fecha]],'Plantilla AEG ES'!$E$1:$HX$13,9,FALSE)</f>
        <v>3</v>
      </c>
      <c r="AK228" s="46">
        <f>HLOOKUP(TBL_CalcDarwin[[#This Row],[Fecha]],'Plantilla AEG ES'!$E$1:$HX$13,10,FALSE)</f>
        <v>12</v>
      </c>
      <c r="AL228" s="46">
        <f>HLOOKUP(TBL_CalcDarwin[[#This Row],[Fecha]],'Plantilla AEG ES'!$E$1:$HX$13,11,FALSE)</f>
        <v>1</v>
      </c>
      <c r="AM228" s="46">
        <f>HLOOKUP(TBL_CalcDarwin[[#This Row],[Fecha]],'Plantilla AEG ES'!$E$1:$HX$13,12,FALSE)</f>
        <v>7</v>
      </c>
      <c r="AN228" s="46">
        <f>HLOOKUP(TBL_CalcDarwin[[#This Row],[Fecha]],'Plantilla AEG ES'!$E$1:$HX$13,13,FALSE)</f>
        <v>1</v>
      </c>
      <c r="AO228" s="37">
        <f>TBL_CalcDarwin[[#This Row],[Lomitas - Barra A - 5.2 - Cerro]]+TBL_CalcDarwin[[#This Row],[Lomitas - Barra A - 5.2 - Medio]]+TBL_CalcDarwin[[#This Row],[Lomitas - Barra A - 5.2 - Mar]]</f>
        <v>23</v>
      </c>
      <c r="AP2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8" s="37">
        <f>TBL_CalcDarwin[[#This Row],[Expansión - Barra A - 5.2 - Cerro]]+TBL_CalcDarwin[[#This Row],[Expansión - Barra A - 5.2 - Medio]]+TBL_CalcDarwin[[#This Row],[Expansión - Barra A - 5.2 - Mar]]</f>
        <v>2</v>
      </c>
      <c r="AT228" s="37">
        <f>TBL_CalcDarwin[[#This Row],[Expansión - Barra B - 5.2 - Cerro]]</f>
        <v>1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8" s="29" t="e">
        <f>TBL_CalcDarwin[[#This Row],[Expansión - Barra B - 5.2 - Cerro]]*TBL_CalcDarwin[[#This Row],[AEG 5.2 MW Cerro]]</f>
        <v>#N/A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5">
        <f t="shared" si="19"/>
        <v>45593.45833333279</v>
      </c>
      <c r="C229" s="17">
        <f t="shared" si="22"/>
        <v>9.4583333333333339</v>
      </c>
      <c r="D229" s="34" t="e">
        <f>TBL_CalcDarwin[[#This Row],[Darwin PLOM
MW]]+TBL_CalcDarwin[[#This Row],[Darwin PLOME
MW]]</f>
        <v>#N/A</v>
      </c>
      <c r="E229" s="34" t="e">
        <f>TBL_CalcDarwin[[#This Row],[PLOM MW TOTAL BARRA A]]+TBL_CalcDarwin[[#This Row],[PLOM MW TOTAL BARRA B]]</f>
        <v>#N/A</v>
      </c>
      <c r="F229" s="34" t="e">
        <f>TBL_CalcDarwin[[#This Row],[PLOME MW TOTAL BARRA A]]+TBL_CalcDarwin[[#This Row],[PLOME MW TOTAL BARRA B]]</f>
        <v>#N/A</v>
      </c>
      <c r="G229" s="48">
        <f>'Plantilla Datos'!D234</f>
        <v>0</v>
      </c>
      <c r="H229" s="48">
        <f>'Plantilla Datos'!E234</f>
        <v>0</v>
      </c>
      <c r="I229" s="49">
        <f>'Plantilla Datos'!F234</f>
        <v>0</v>
      </c>
      <c r="J229" s="47">
        <f>CEILING('Plantilla Datos'!$L$3*TBL_CalcDarwin[[#This Row],[Darwin Gusts
m/s]],0.5)</f>
        <v>0</v>
      </c>
      <c r="K229" s="47">
        <f>CEILING('Plantilla Datos'!$L$4*TBL_CalcDarwin[[#This Row],[Darwin Gusts
m/s]],0.5)</f>
        <v>0</v>
      </c>
      <c r="L229" s="47">
        <f>CEILING(TBL_CalcDarwin[[#This Row],[Darwin Gusts
m/s]],0.5)</f>
        <v>0</v>
      </c>
      <c r="M22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9" s="41" t="e">
        <f>INDEX(Curva_Temp[Temp],MATCH(TBL_CalcDarwin[[#This Row],[Darwin Temp.
°C]],Curva_Temp[Temp]))</f>
        <v>#N/A</v>
      </c>
      <c r="R229" s="41" t="e">
        <f>INDEX(Curva_Temp[Warranted Power Curve for 
1.194Kg/m3 air density '[kW']
SG 5.0-145 (AM+1, 5.2MW) AT 
90M],MATCH(TBL_CalcDarwin[[#This Row],[Darwin Temp.
°C]],Curva_Temp[Temp]))</f>
        <v>#N/A</v>
      </c>
      <c r="S229" s="41" t="e" cm="1">
        <f t="array" ref="S229">INDEX(Curva_Temp[Temp],MATCH(TBL_CalcDarwin[[#This Row],[Darwin Temp.
°C]],Curva_Temp[Temp])+1)</f>
        <v>#N/A</v>
      </c>
      <c r="T229" s="41" t="e" cm="1">
        <f t="array" ref="T229">INDEX(Curva_Temp[Warranted Power Curve for 
1.194Kg/m3 air density '[kW']
SG 5.0-145 (AM+1, 5.2MW) AT 
90M],MATCH(TBL_CalcDarwin[[#This Row],[Darwin Temp.
°C]],Curva_Temp[Temp])+1)</f>
        <v>#N/A</v>
      </c>
      <c r="U22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9" s="41" t="e">
        <f>INDEX(Curva_Temp[Temp],MATCH(TBL_CalcDarwin[[#This Row],[Darwin Temp.
°C]],Curva_Temp[Temp]))</f>
        <v>#N/A</v>
      </c>
      <c r="Z229" s="41" t="e">
        <f>INDEX(Curva_Temp[Warranted Power Curve for 
1.194Kg/m3 air density '[kW']
SG 5.0-145 (AM 0, 5.0MW) AT 
90M],MATCH(TBL_CalcDarwin[[#This Row],[Darwin Temp.
°C]],Curva_Temp[Temp]))</f>
        <v>#N/A</v>
      </c>
      <c r="AA229" s="41" t="e" cm="1">
        <f t="array" ref="AA229">INDEX(Curva_Temp[Temp],MATCH(TBL_CalcDarwin[[#This Row],[Darwin Temp.
°C]],Curva_Temp[Temp])+1)</f>
        <v>#N/A</v>
      </c>
      <c r="AB229" s="41" t="e" cm="1">
        <f t="array" ref="AB229">INDEX(Curva_Temp[Warranted Power Curve for 
1.194Kg/m3 air density '[kW']
SG 5.0-145 (AM 0, 5.0MW) AT 
90M],MATCH(TBL_CalcDarwin[[#This Row],[Darwin Temp.
°C]],Curva_Temp[Temp])+1)</f>
        <v>#N/A</v>
      </c>
      <c r="AC229" s="45">
        <f>HLOOKUP(TBL_CalcDarwin[[#This Row],[Fecha]],'Plantilla AEG ES'!$E$1:$HX$13,2,FALSE)</f>
        <v>5</v>
      </c>
      <c r="AD229" s="45">
        <f>HLOOKUP(TBL_CalcDarwin[[#This Row],[Fecha]],'Plantilla AEG ES'!$E$1:$HX$13,3,FALSE)</f>
        <v>8</v>
      </c>
      <c r="AE229" s="45">
        <f>HLOOKUP(TBL_CalcDarwin[[#This Row],[Fecha]],'Plantilla AEG ES'!$E$1:$HX$13,4,FALSE)</f>
        <v>12</v>
      </c>
      <c r="AF229" s="45">
        <f>HLOOKUP(TBL_CalcDarwin[[#This Row],[Fecha]],'Plantilla AEG ES'!$E$1:$HX$13,5,FALSE)</f>
        <v>1</v>
      </c>
      <c r="AG229" s="45">
        <f>HLOOKUP(TBL_CalcDarwin[[#This Row],[Fecha]],'Plantilla AEG ES'!$E$1:$HX$13,6,FALSE)</f>
        <v>1</v>
      </c>
      <c r="AH229" s="45">
        <f>HLOOKUP(TBL_CalcDarwin[[#This Row],[Fecha]],'Plantilla AEG ES'!$E$1:$HX$13,7,FALSE)</f>
        <v>0</v>
      </c>
      <c r="AI229" s="46">
        <f>HLOOKUP(TBL_CalcDarwin[[#This Row],[Fecha]],'Plantilla AEG ES'!$E$1:$HX$13,8,FALSE)</f>
        <v>0</v>
      </c>
      <c r="AJ229" s="46">
        <f>HLOOKUP(TBL_CalcDarwin[[#This Row],[Fecha]],'Plantilla AEG ES'!$E$1:$HX$13,9,FALSE)</f>
        <v>3</v>
      </c>
      <c r="AK229" s="46">
        <f>HLOOKUP(TBL_CalcDarwin[[#This Row],[Fecha]],'Plantilla AEG ES'!$E$1:$HX$13,10,FALSE)</f>
        <v>12</v>
      </c>
      <c r="AL229" s="46">
        <f>HLOOKUP(TBL_CalcDarwin[[#This Row],[Fecha]],'Plantilla AEG ES'!$E$1:$HX$13,11,FALSE)</f>
        <v>1</v>
      </c>
      <c r="AM229" s="46">
        <f>HLOOKUP(TBL_CalcDarwin[[#This Row],[Fecha]],'Plantilla AEG ES'!$E$1:$HX$13,12,FALSE)</f>
        <v>7</v>
      </c>
      <c r="AN229" s="46">
        <f>HLOOKUP(TBL_CalcDarwin[[#This Row],[Fecha]],'Plantilla AEG ES'!$E$1:$HX$13,13,FALSE)</f>
        <v>1</v>
      </c>
      <c r="AO229" s="37">
        <f>TBL_CalcDarwin[[#This Row],[Lomitas - Barra A - 5.2 - Cerro]]+TBL_CalcDarwin[[#This Row],[Lomitas - Barra A - 5.2 - Medio]]+TBL_CalcDarwin[[#This Row],[Lomitas - Barra A - 5.2 - Mar]]</f>
        <v>25</v>
      </c>
      <c r="AP2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9" s="37">
        <f>TBL_CalcDarwin[[#This Row],[Expansión - Barra A - 5.2 - Cerro]]+TBL_CalcDarwin[[#This Row],[Expansión - Barra A - 5.2 - Medio]]+TBL_CalcDarwin[[#This Row],[Expansión - Barra A - 5.2 - Mar]]</f>
        <v>2</v>
      </c>
      <c r="AT229" s="37">
        <f>TBL_CalcDarwin[[#This Row],[Expansión - Barra B - 5.2 - Cerro]]</f>
        <v>1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9" s="29" t="e">
        <f>TBL_CalcDarwin[[#This Row],[Expansión - Barra B - 5.2 - Cerro]]*TBL_CalcDarwin[[#This Row],[AEG 5.2 MW Cerro]]</f>
        <v>#N/A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customProperties>
    <customPr name="_pios_id" r:id="rId2"/>
  </customProperties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P50"/>
  <sheetViews>
    <sheetView topLeftCell="A5" zoomScale="80" zoomScaleNormal="80" workbookViewId="0">
      <selection activeCell="A3" sqref="A3:L50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  <col min="14" max="14" width="10.5703125" bestFit="1" customWidth="1"/>
    <col min="15" max="15" width="11.7109375" customWidth="1"/>
    <col min="16" max="16" width="12" bestFit="1" customWidth="1"/>
  </cols>
  <sheetData>
    <row r="1" spans="1:16" ht="54.6" customHeight="1" x14ac:dyDescent="0.35">
      <c r="A1" s="138" t="str">
        <f>"DATA DE VIENTO EJECUTADO CE PUNTA LOMITAS "&amp;UPPER(TEXT(A3,"DDDD dd mmmm"))</f>
        <v>DATA DE VIENTO EJECUTADO CE PUNTA LOMITAS VIERNES 18 OCTUBRE</v>
      </c>
      <c r="B1" s="138"/>
      <c r="C1" s="138"/>
      <c r="F1" s="138" t="str">
        <f>"GENERACIÓN PROYECTADA CE PUNTA LOMITAS, POR BARRA Y # AEG E/S "&amp;UPPER(TEXT(F3,"DDDD dd mmmm"))</f>
        <v>GENERACIÓN PROYECTADA CE PUNTA LOMITAS, POR BARRA Y # AEG E/S DOMINGO 20 OCTUBRE</v>
      </c>
      <c r="G1" s="138"/>
      <c r="H1" s="138"/>
      <c r="I1" s="138"/>
      <c r="J1" s="138"/>
      <c r="K1" s="138"/>
      <c r="L1" s="138"/>
      <c r="N1" s="127" t="s">
        <v>209</v>
      </c>
      <c r="P1" s="127">
        <v>175</v>
      </c>
    </row>
    <row r="2" spans="1:16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  <c r="N2" s="72" t="s">
        <v>188</v>
      </c>
      <c r="O2" s="72" t="s">
        <v>189</v>
      </c>
      <c r="P2" s="72" t="s">
        <v>190</v>
      </c>
    </row>
    <row r="3" spans="1:16" x14ac:dyDescent="0.25">
      <c r="A3" s="105">
        <f>ROUND('Plantilla Datos'!E3,5)</f>
        <v>45583</v>
      </c>
      <c r="B3" s="51">
        <v>0</v>
      </c>
      <c r="C3" s="1">
        <f>'Plantilla Datos'!K9</f>
        <v>8.8000000000000007</v>
      </c>
      <c r="F3" s="106">
        <f>(Table2[[#This Row],[Fecha]]+2)</f>
        <v>45585</v>
      </c>
      <c r="G3" s="52">
        <f>Table2[[#This Row],[Hora]]</f>
        <v>0</v>
      </c>
      <c r="H3" s="53">
        <f>VLOOKUP(Table1[[#This Row],[Fecha]],TBL_CalcDarwin[],42,1)</f>
        <v>11.998000000000001</v>
      </c>
      <c r="I3" s="53">
        <f>VLOOKUP(Table1[[#This Row],[Fecha]],TBL_CalcDarwin[],43,1)</f>
        <v>13.425000000000001</v>
      </c>
      <c r="J3" s="73">
        <f>VLOOKUP(Table1[[#This Row],[Fecha]],TBL_CalcDarwin[],40,1)</f>
        <v>22</v>
      </c>
      <c r="K3" s="73">
        <f>VLOOKUP(Table1[[#This Row],[Fecha]],TBL_CalcDarwin[],41,1)</f>
        <v>19</v>
      </c>
      <c r="L3" s="53">
        <f>Table1[[#This Row],[MW Proyectada (Barra A)]]+Table1[[#This Row],[MW Proyectada (Barra B)]]</f>
        <v>25.423000000000002</v>
      </c>
      <c r="N3" s="53">
        <f>IF(Table1[[#This Row],[TOTAL MW]]&lt;($P$1-Table18[[#This Row],[TOTAL MW]]),Table1[[#This Row],[MW Proyectada (Barra A)]],Table1[[#This Row],[MW Proyectada (Barra A)]]*($P$1-Table18[[#This Row],[TOTAL MW]])/Table1[[#This Row],[TOTAL MW]])</f>
        <v>11.998000000000001</v>
      </c>
      <c r="O3" s="53">
        <f>IF(Table1[[#This Row],[TOTAL MW]]&lt;($P$1-Table18[[#This Row],[TOTAL MW]]),Table1[[#This Row],[MW Proyectada (Barra B)]],Table1[[#This Row],[MW Proyectada (Barra B)]]*($P$1-Table18[[#This Row],[TOTAL MW]])/Table1[[#This Row],[TOTAL MW]])</f>
        <v>13.425000000000001</v>
      </c>
      <c r="P3" s="53">
        <f>N3+O3</f>
        <v>25.423000000000002</v>
      </c>
    </row>
    <row r="4" spans="1:16" x14ac:dyDescent="0.25">
      <c r="A4" s="105">
        <f>A3+TIME(0,30,0)</f>
        <v>45583.020833333336</v>
      </c>
      <c r="B4" s="51">
        <f>B3+TIME(0,30,0)</f>
        <v>2.0833333333333332E-2</v>
      </c>
      <c r="C4" s="1">
        <f>'Plantilla Datos'!K10</f>
        <v>10.1</v>
      </c>
      <c r="F4" s="106">
        <f>(Table2[[#This Row],[Fecha]]+2)</f>
        <v>45585.020833333336</v>
      </c>
      <c r="G4" s="52">
        <f>Table2[[#This Row],[Hora]]</f>
        <v>2.0833333333333332E-2</v>
      </c>
      <c r="H4" s="53">
        <f>VLOOKUP(Table1[[#This Row],[Fecha]],TBL_CalcDarwin[],42,1)</f>
        <v>11.998000000000001</v>
      </c>
      <c r="I4" s="53">
        <f>VLOOKUP(Table1[[#This Row],[Fecha]],TBL_CalcDarwin[],43,1)</f>
        <v>13.425000000000001</v>
      </c>
      <c r="J4" s="73">
        <f>VLOOKUP(Table1[[#This Row],[Fecha]],TBL_CalcDarwin[],40,1)</f>
        <v>22</v>
      </c>
      <c r="K4" s="73">
        <f>VLOOKUP(Table1[[#This Row],[Fecha]],TBL_CalcDarwin[],41,1)</f>
        <v>19</v>
      </c>
      <c r="L4" s="53">
        <f>Table1[[#This Row],[MW Proyectada (Barra A)]]+Table1[[#This Row],[MW Proyectada (Barra B)]]</f>
        <v>25.423000000000002</v>
      </c>
      <c r="N4" s="53">
        <f>IF(Table1[[#This Row],[TOTAL MW]]&lt;($P$1-Table18[[#This Row],[TOTAL MW]]),Table1[[#This Row],[MW Proyectada (Barra A)]],Table1[[#This Row],[MW Proyectada (Barra A)]]*($P$1-Table18[[#This Row],[TOTAL MW]])/Table1[[#This Row],[TOTAL MW]])</f>
        <v>11.998000000000001</v>
      </c>
      <c r="O4" s="53">
        <f>IF(Table1[[#This Row],[TOTAL MW]]&lt;($P$1-Table18[[#This Row],[TOTAL MW]]),Table1[[#This Row],[MW Proyectada (Barra B)]],Table1[[#This Row],[MW Proyectada (Barra B)]]*($P$1-Table18[[#This Row],[TOTAL MW]])/Table1[[#This Row],[TOTAL MW]])</f>
        <v>13.425000000000001</v>
      </c>
      <c r="P4" s="53">
        <f t="shared" ref="P4:P50" si="0">N4+O4</f>
        <v>25.423000000000002</v>
      </c>
    </row>
    <row r="5" spans="1:16" x14ac:dyDescent="0.25">
      <c r="A5" s="105">
        <f t="shared" ref="A5:A50" si="1">A4+TIME(0,30,0)</f>
        <v>45583.041666666672</v>
      </c>
      <c r="B5" s="51">
        <f t="shared" ref="B5:B50" si="2">B4+TIME(0,30,0)</f>
        <v>4.1666666666666664E-2</v>
      </c>
      <c r="C5" s="1">
        <f>'Plantilla Datos'!K11</f>
        <v>9</v>
      </c>
      <c r="F5" s="106">
        <f>(Table2[[#This Row],[Fecha]]+2)</f>
        <v>45585.041666666672</v>
      </c>
      <c r="G5" s="52">
        <f>Table2[[#This Row],[Hora]]</f>
        <v>4.1666666666666664E-2</v>
      </c>
      <c r="H5" s="53">
        <f>VLOOKUP(Table1[[#This Row],[Fecha]],TBL_CalcDarwin[],42,1)</f>
        <v>11.998000000000001</v>
      </c>
      <c r="I5" s="53">
        <f>VLOOKUP(Table1[[#This Row],[Fecha]],TBL_CalcDarwin[],43,1)</f>
        <v>13.425000000000001</v>
      </c>
      <c r="J5" s="73">
        <f>VLOOKUP(Table1[[#This Row],[Fecha]],TBL_CalcDarwin[],40,1)</f>
        <v>22</v>
      </c>
      <c r="K5" s="73">
        <f>VLOOKUP(Table1[[#This Row],[Fecha]],TBL_CalcDarwin[],41,1)</f>
        <v>19</v>
      </c>
      <c r="L5" s="53">
        <f>Table1[[#This Row],[MW Proyectada (Barra A)]]+Table1[[#This Row],[MW Proyectada (Barra B)]]</f>
        <v>25.423000000000002</v>
      </c>
      <c r="N5" s="53">
        <f>IF(Table1[[#This Row],[TOTAL MW]]&lt;($P$1-Table18[[#This Row],[TOTAL MW]]),Table1[[#This Row],[MW Proyectada (Barra A)]],Table1[[#This Row],[MW Proyectada (Barra A)]]*($P$1-Table18[[#This Row],[TOTAL MW]])/Table1[[#This Row],[TOTAL MW]])</f>
        <v>11.998000000000001</v>
      </c>
      <c r="O5" s="53">
        <f>IF(Table1[[#This Row],[TOTAL MW]]&lt;($P$1-Table18[[#This Row],[TOTAL MW]]),Table1[[#This Row],[MW Proyectada (Barra B)]],Table1[[#This Row],[MW Proyectada (Barra B)]]*($P$1-Table18[[#This Row],[TOTAL MW]])/Table1[[#This Row],[TOTAL MW]])</f>
        <v>13.425000000000001</v>
      </c>
      <c r="P5" s="53">
        <f t="shared" si="0"/>
        <v>25.423000000000002</v>
      </c>
    </row>
    <row r="6" spans="1:16" x14ac:dyDescent="0.25">
      <c r="A6" s="105">
        <f t="shared" si="1"/>
        <v>45583.062500000007</v>
      </c>
      <c r="B6" s="51">
        <f t="shared" si="2"/>
        <v>6.25E-2</v>
      </c>
      <c r="C6" s="1">
        <f>'Plantilla Datos'!K12</f>
        <v>8</v>
      </c>
      <c r="F6" s="106">
        <f>(Table2[[#This Row],[Fecha]]+2)</f>
        <v>45585.062500000007</v>
      </c>
      <c r="G6" s="52">
        <f>Table2[[#This Row],[Hora]]</f>
        <v>6.25E-2</v>
      </c>
      <c r="H6" s="53">
        <f>VLOOKUP(Table1[[#This Row],[Fecha]],TBL_CalcDarwin[],42,1)</f>
        <v>11.998000000000001</v>
      </c>
      <c r="I6" s="53">
        <f>VLOOKUP(Table1[[#This Row],[Fecha]],TBL_CalcDarwin[],43,1)</f>
        <v>13.425000000000001</v>
      </c>
      <c r="J6" s="73">
        <f>VLOOKUP(Table1[[#This Row],[Fecha]],TBL_CalcDarwin[],40,1)</f>
        <v>22</v>
      </c>
      <c r="K6" s="73">
        <f>VLOOKUP(Table1[[#This Row],[Fecha]],TBL_CalcDarwin[],41,1)</f>
        <v>19</v>
      </c>
      <c r="L6" s="53">
        <f>Table1[[#This Row],[MW Proyectada (Barra A)]]+Table1[[#This Row],[MW Proyectada (Barra B)]]</f>
        <v>25.423000000000002</v>
      </c>
      <c r="N6" s="53">
        <f>IF(Table1[[#This Row],[TOTAL MW]]&lt;($P$1-Table18[[#This Row],[TOTAL MW]]),Table1[[#This Row],[MW Proyectada (Barra A)]],Table1[[#This Row],[MW Proyectada (Barra A)]]*($P$1-Table18[[#This Row],[TOTAL MW]])/Table1[[#This Row],[TOTAL MW]])</f>
        <v>11.998000000000001</v>
      </c>
      <c r="O6" s="53">
        <f>IF(Table1[[#This Row],[TOTAL MW]]&lt;($P$1-Table18[[#This Row],[TOTAL MW]]),Table1[[#This Row],[MW Proyectada (Barra B)]],Table1[[#This Row],[MW Proyectada (Barra B)]]*($P$1-Table18[[#This Row],[TOTAL MW]])/Table1[[#This Row],[TOTAL MW]])</f>
        <v>13.425000000000001</v>
      </c>
      <c r="P6" s="53">
        <f t="shared" si="0"/>
        <v>25.423000000000002</v>
      </c>
    </row>
    <row r="7" spans="1:16" x14ac:dyDescent="0.25">
      <c r="A7" s="105">
        <f t="shared" si="1"/>
        <v>45583.083333333343</v>
      </c>
      <c r="B7" s="51">
        <f t="shared" si="2"/>
        <v>8.3333333333333329E-2</v>
      </c>
      <c r="C7" s="1">
        <f>'Plantilla Datos'!K13</f>
        <v>10.7</v>
      </c>
      <c r="F7" s="106">
        <f>(Table2[[#This Row],[Fecha]]+2)</f>
        <v>45585.083333333343</v>
      </c>
      <c r="G7" s="52">
        <f>Table2[[#This Row],[Hora]]</f>
        <v>8.3333333333333329E-2</v>
      </c>
      <c r="H7" s="53">
        <f>VLOOKUP(Table1[[#This Row],[Fecha]],TBL_CalcDarwin[],42,1)</f>
        <v>5.9260000000000002</v>
      </c>
      <c r="I7" s="53">
        <f>VLOOKUP(Table1[[#This Row],[Fecha]],TBL_CalcDarwin[],43,1)</f>
        <v>6.8079999999999998</v>
      </c>
      <c r="J7" s="73">
        <f>VLOOKUP(Table1[[#This Row],[Fecha]],TBL_CalcDarwin[],40,1)</f>
        <v>22</v>
      </c>
      <c r="K7" s="73">
        <f>VLOOKUP(Table1[[#This Row],[Fecha]],TBL_CalcDarwin[],41,1)</f>
        <v>19</v>
      </c>
      <c r="L7" s="53">
        <f>Table1[[#This Row],[MW Proyectada (Barra A)]]+Table1[[#This Row],[MW Proyectada (Barra B)]]</f>
        <v>12.734</v>
      </c>
      <c r="N7" s="53">
        <f>IF(Table1[[#This Row],[TOTAL MW]]&lt;($P$1-Table18[[#This Row],[TOTAL MW]]),Table1[[#This Row],[MW Proyectada (Barra A)]],Table1[[#This Row],[MW Proyectada (Barra A)]]*($P$1-Table18[[#This Row],[TOTAL MW]])/Table1[[#This Row],[TOTAL MW]])</f>
        <v>5.9260000000000002</v>
      </c>
      <c r="O7" s="53">
        <f>IF(Table1[[#This Row],[TOTAL MW]]&lt;($P$1-Table18[[#This Row],[TOTAL MW]]),Table1[[#This Row],[MW Proyectada (Barra B)]],Table1[[#This Row],[MW Proyectada (Barra B)]]*($P$1-Table18[[#This Row],[TOTAL MW]])/Table1[[#This Row],[TOTAL MW]])</f>
        <v>6.8079999999999998</v>
      </c>
      <c r="P7" s="53">
        <f t="shared" si="0"/>
        <v>12.734</v>
      </c>
    </row>
    <row r="8" spans="1:16" x14ac:dyDescent="0.25">
      <c r="A8" s="105">
        <f t="shared" si="1"/>
        <v>45583.104166666679</v>
      </c>
      <c r="B8" s="51">
        <f t="shared" si="2"/>
        <v>0.10416666666666666</v>
      </c>
      <c r="C8" s="1">
        <f>'Plantilla Datos'!K14</f>
        <v>9.4</v>
      </c>
      <c r="F8" s="106">
        <f>(Table2[[#This Row],[Fecha]]+2)</f>
        <v>45585.104166666679</v>
      </c>
      <c r="G8" s="52">
        <f>Table2[[#This Row],[Hora]]</f>
        <v>0.10416666666666666</v>
      </c>
      <c r="H8" s="53">
        <f>VLOOKUP(Table1[[#This Row],[Fecha]],TBL_CalcDarwin[],42,1)</f>
        <v>5.9260000000000002</v>
      </c>
      <c r="I8" s="53">
        <f>VLOOKUP(Table1[[#This Row],[Fecha]],TBL_CalcDarwin[],43,1)</f>
        <v>6.8079999999999998</v>
      </c>
      <c r="J8" s="73">
        <f>VLOOKUP(Table1[[#This Row],[Fecha]],TBL_CalcDarwin[],40,1)</f>
        <v>22</v>
      </c>
      <c r="K8" s="73">
        <f>VLOOKUP(Table1[[#This Row],[Fecha]],TBL_CalcDarwin[],41,1)</f>
        <v>19</v>
      </c>
      <c r="L8" s="53">
        <f>Table1[[#This Row],[MW Proyectada (Barra A)]]+Table1[[#This Row],[MW Proyectada (Barra B)]]</f>
        <v>12.734</v>
      </c>
      <c r="N8" s="53">
        <f>IF(Table1[[#This Row],[TOTAL MW]]&lt;($P$1-Table18[[#This Row],[TOTAL MW]]),Table1[[#This Row],[MW Proyectada (Barra A)]],Table1[[#This Row],[MW Proyectada (Barra A)]]*($P$1-Table18[[#This Row],[TOTAL MW]])/Table1[[#This Row],[TOTAL MW]])</f>
        <v>5.9260000000000002</v>
      </c>
      <c r="O8" s="53">
        <f>IF(Table1[[#This Row],[TOTAL MW]]&lt;($P$1-Table18[[#This Row],[TOTAL MW]]),Table1[[#This Row],[MW Proyectada (Barra B)]],Table1[[#This Row],[MW Proyectada (Barra B)]]*($P$1-Table18[[#This Row],[TOTAL MW]])/Table1[[#This Row],[TOTAL MW]])</f>
        <v>6.8079999999999998</v>
      </c>
      <c r="P8" s="53">
        <f t="shared" si="0"/>
        <v>12.734</v>
      </c>
    </row>
    <row r="9" spans="1:16" x14ac:dyDescent="0.25">
      <c r="A9" s="105">
        <f t="shared" si="1"/>
        <v>45583.125000000015</v>
      </c>
      <c r="B9" s="51">
        <f t="shared" si="2"/>
        <v>0.12499999999999999</v>
      </c>
      <c r="C9" s="1">
        <f>'Plantilla Datos'!K15</f>
        <v>7.9</v>
      </c>
      <c r="F9" s="106">
        <f>(Table2[[#This Row],[Fecha]]+2)</f>
        <v>45585.125000000015</v>
      </c>
      <c r="G9" s="52">
        <f>Table2[[#This Row],[Hora]]</f>
        <v>0.12499999999999999</v>
      </c>
      <c r="H9" s="53">
        <f>VLOOKUP(Table1[[#This Row],[Fecha]],TBL_CalcDarwin[],42,1)</f>
        <v>3.4359999999999999</v>
      </c>
      <c r="I9" s="53">
        <f>VLOOKUP(Table1[[#This Row],[Fecha]],TBL_CalcDarwin[],43,1)</f>
        <v>4.2759999999999998</v>
      </c>
      <c r="J9" s="73">
        <f>VLOOKUP(Table1[[#This Row],[Fecha]],TBL_CalcDarwin[],40,1)</f>
        <v>22</v>
      </c>
      <c r="K9" s="73">
        <f>VLOOKUP(Table1[[#This Row],[Fecha]],TBL_CalcDarwin[],41,1)</f>
        <v>19</v>
      </c>
      <c r="L9" s="53">
        <f>Table1[[#This Row],[MW Proyectada (Barra A)]]+Table1[[#This Row],[MW Proyectada (Barra B)]]</f>
        <v>7.7119999999999997</v>
      </c>
      <c r="N9" s="53">
        <f>IF(Table1[[#This Row],[TOTAL MW]]&lt;($P$1-Table18[[#This Row],[TOTAL MW]]),Table1[[#This Row],[MW Proyectada (Barra A)]],Table1[[#This Row],[MW Proyectada (Barra A)]]*($P$1-Table18[[#This Row],[TOTAL MW]])/Table1[[#This Row],[TOTAL MW]])</f>
        <v>3.4359999999999999</v>
      </c>
      <c r="O9" s="53">
        <f>IF(Table1[[#This Row],[TOTAL MW]]&lt;($P$1-Table18[[#This Row],[TOTAL MW]]),Table1[[#This Row],[MW Proyectada (Barra B)]],Table1[[#This Row],[MW Proyectada (Barra B)]]*($P$1-Table18[[#This Row],[TOTAL MW]])/Table1[[#This Row],[TOTAL MW]])</f>
        <v>4.2759999999999998</v>
      </c>
      <c r="P9" s="53">
        <f t="shared" si="0"/>
        <v>7.7119999999999997</v>
      </c>
    </row>
    <row r="10" spans="1:16" x14ac:dyDescent="0.25">
      <c r="A10" s="105">
        <f t="shared" si="1"/>
        <v>45583.14583333335</v>
      </c>
      <c r="B10" s="51">
        <f t="shared" si="2"/>
        <v>0.14583333333333331</v>
      </c>
      <c r="C10" s="1">
        <f>'Plantilla Datos'!K16</f>
        <v>7.1</v>
      </c>
      <c r="F10" s="106">
        <f>(Table2[[#This Row],[Fecha]]+2)</f>
        <v>45585.14583333335</v>
      </c>
      <c r="G10" s="52">
        <f>Table2[[#This Row],[Hora]]</f>
        <v>0.14583333333333331</v>
      </c>
      <c r="H10" s="53">
        <f>VLOOKUP(Table1[[#This Row],[Fecha]],TBL_CalcDarwin[],42,1)</f>
        <v>3.4359999999999999</v>
      </c>
      <c r="I10" s="53">
        <f>VLOOKUP(Table1[[#This Row],[Fecha]],TBL_CalcDarwin[],43,1)</f>
        <v>4.2759999999999998</v>
      </c>
      <c r="J10" s="73">
        <f>VLOOKUP(Table1[[#This Row],[Fecha]],TBL_CalcDarwin[],40,1)</f>
        <v>22</v>
      </c>
      <c r="K10" s="73">
        <f>VLOOKUP(Table1[[#This Row],[Fecha]],TBL_CalcDarwin[],41,1)</f>
        <v>19</v>
      </c>
      <c r="L10" s="53">
        <f>Table1[[#This Row],[MW Proyectada (Barra A)]]+Table1[[#This Row],[MW Proyectada (Barra B)]]</f>
        <v>7.7119999999999997</v>
      </c>
      <c r="N10" s="53">
        <f>IF(Table1[[#This Row],[TOTAL MW]]&lt;($P$1-Table18[[#This Row],[TOTAL MW]]),Table1[[#This Row],[MW Proyectada (Barra A)]],Table1[[#This Row],[MW Proyectada (Barra A)]]*($P$1-Table18[[#This Row],[TOTAL MW]])/Table1[[#This Row],[TOTAL MW]])</f>
        <v>3.4359999999999999</v>
      </c>
      <c r="O10" s="53">
        <f>IF(Table1[[#This Row],[TOTAL MW]]&lt;($P$1-Table18[[#This Row],[TOTAL MW]]),Table1[[#This Row],[MW Proyectada (Barra B)]],Table1[[#This Row],[MW Proyectada (Barra B)]]*($P$1-Table18[[#This Row],[TOTAL MW]])/Table1[[#This Row],[TOTAL MW]])</f>
        <v>4.2759999999999998</v>
      </c>
      <c r="P10" s="53">
        <f t="shared" si="0"/>
        <v>7.7119999999999997</v>
      </c>
    </row>
    <row r="11" spans="1:16" x14ac:dyDescent="0.25">
      <c r="A11" s="105">
        <f t="shared" si="1"/>
        <v>45583.166666666686</v>
      </c>
      <c r="B11" s="51">
        <f t="shared" si="2"/>
        <v>0.16666666666666666</v>
      </c>
      <c r="C11" s="1">
        <f>'Plantilla Datos'!K17</f>
        <v>7.5</v>
      </c>
      <c r="F11" s="106">
        <f>(Table2[[#This Row],[Fecha]]+2)</f>
        <v>45585.166666666686</v>
      </c>
      <c r="G11" s="52">
        <f>Table2[[#This Row],[Hora]]</f>
        <v>0.16666666666666666</v>
      </c>
      <c r="H11" s="53">
        <f>VLOOKUP(Table1[[#This Row],[Fecha]],TBL_CalcDarwin[],42,1)</f>
        <v>0.495</v>
      </c>
      <c r="I11" s="53">
        <f>VLOOKUP(Table1[[#This Row],[Fecha]],TBL_CalcDarwin[],43,1)</f>
        <v>0.92500000000000004</v>
      </c>
      <c r="J11" s="73">
        <f>VLOOKUP(Table1[[#This Row],[Fecha]],TBL_CalcDarwin[],40,1)</f>
        <v>22</v>
      </c>
      <c r="K11" s="73">
        <f>VLOOKUP(Table1[[#This Row],[Fecha]],TBL_CalcDarwin[],41,1)</f>
        <v>19</v>
      </c>
      <c r="L11" s="53">
        <f>Table1[[#This Row],[MW Proyectada (Barra A)]]+Table1[[#This Row],[MW Proyectada (Barra B)]]</f>
        <v>1.42</v>
      </c>
      <c r="N11" s="53">
        <f>IF(Table1[[#This Row],[TOTAL MW]]&lt;($P$1-Table18[[#This Row],[TOTAL MW]]),Table1[[#This Row],[MW Proyectada (Barra A)]],Table1[[#This Row],[MW Proyectada (Barra A)]]*($P$1-Table18[[#This Row],[TOTAL MW]])/Table1[[#This Row],[TOTAL MW]])</f>
        <v>0.495</v>
      </c>
      <c r="O11" s="53">
        <f>IF(Table1[[#This Row],[TOTAL MW]]&lt;($P$1-Table18[[#This Row],[TOTAL MW]]),Table1[[#This Row],[MW Proyectada (Barra B)]],Table1[[#This Row],[MW Proyectada (Barra B)]]*($P$1-Table18[[#This Row],[TOTAL MW]])/Table1[[#This Row],[TOTAL MW]])</f>
        <v>0.92500000000000004</v>
      </c>
      <c r="P11" s="53">
        <f t="shared" si="0"/>
        <v>1.42</v>
      </c>
    </row>
    <row r="12" spans="1:16" x14ac:dyDescent="0.25">
      <c r="A12" s="105">
        <f t="shared" si="1"/>
        <v>45583.187500000022</v>
      </c>
      <c r="B12" s="51">
        <f t="shared" si="2"/>
        <v>0.1875</v>
      </c>
      <c r="C12" s="1">
        <f>'Plantilla Datos'!K18</f>
        <v>7.5</v>
      </c>
      <c r="F12" s="106">
        <f>(Table2[[#This Row],[Fecha]]+2)</f>
        <v>45585.187500000022</v>
      </c>
      <c r="G12" s="52">
        <f>Table2[[#This Row],[Hora]]</f>
        <v>0.1875</v>
      </c>
      <c r="H12" s="53">
        <f>VLOOKUP(Table1[[#This Row],[Fecha]],TBL_CalcDarwin[],42,1)</f>
        <v>0.495</v>
      </c>
      <c r="I12" s="53">
        <f>VLOOKUP(Table1[[#This Row],[Fecha]],TBL_CalcDarwin[],43,1)</f>
        <v>0.92500000000000004</v>
      </c>
      <c r="J12" s="73">
        <f>VLOOKUP(Table1[[#This Row],[Fecha]],TBL_CalcDarwin[],40,1)</f>
        <v>22</v>
      </c>
      <c r="K12" s="73">
        <f>VLOOKUP(Table1[[#This Row],[Fecha]],TBL_CalcDarwin[],41,1)</f>
        <v>19</v>
      </c>
      <c r="L12" s="53">
        <f>Table1[[#This Row],[MW Proyectada (Barra A)]]+Table1[[#This Row],[MW Proyectada (Barra B)]]</f>
        <v>1.42</v>
      </c>
      <c r="N12" s="53">
        <f>IF(Table1[[#This Row],[TOTAL MW]]&lt;($P$1-Table18[[#This Row],[TOTAL MW]]),Table1[[#This Row],[MW Proyectada (Barra A)]],Table1[[#This Row],[MW Proyectada (Barra A)]]*($P$1-Table18[[#This Row],[TOTAL MW]])/Table1[[#This Row],[TOTAL MW]])</f>
        <v>0.495</v>
      </c>
      <c r="O12" s="53">
        <f>IF(Table1[[#This Row],[TOTAL MW]]&lt;($P$1-Table18[[#This Row],[TOTAL MW]]),Table1[[#This Row],[MW Proyectada (Barra B)]],Table1[[#This Row],[MW Proyectada (Barra B)]]*($P$1-Table18[[#This Row],[TOTAL MW]])/Table1[[#This Row],[TOTAL MW]])</f>
        <v>0.92500000000000004</v>
      </c>
      <c r="P12" s="53">
        <f t="shared" si="0"/>
        <v>1.42</v>
      </c>
    </row>
    <row r="13" spans="1:16" x14ac:dyDescent="0.25">
      <c r="A13" s="105">
        <f t="shared" si="1"/>
        <v>45583.208333333358</v>
      </c>
      <c r="B13" s="51">
        <f t="shared" si="2"/>
        <v>0.20833333333333334</v>
      </c>
      <c r="C13" s="1">
        <f>'Plantilla Datos'!K19</f>
        <v>8</v>
      </c>
      <c r="F13" s="106">
        <f>(Table2[[#This Row],[Fecha]]+2)</f>
        <v>45585.208333333358</v>
      </c>
      <c r="G13" s="52">
        <f>Table2[[#This Row],[Hora]]</f>
        <v>0.20833333333333334</v>
      </c>
      <c r="H13" s="53">
        <f>VLOOKUP(Table1[[#This Row],[Fecha]],TBL_CalcDarwin[],42,1)</f>
        <v>0.495</v>
      </c>
      <c r="I13" s="53">
        <f>VLOOKUP(Table1[[#This Row],[Fecha]],TBL_CalcDarwin[],43,1)</f>
        <v>0.92500000000000004</v>
      </c>
      <c r="J13" s="73">
        <f>VLOOKUP(Table1[[#This Row],[Fecha]],TBL_CalcDarwin[],40,1)</f>
        <v>22</v>
      </c>
      <c r="K13" s="73">
        <f>VLOOKUP(Table1[[#This Row],[Fecha]],TBL_CalcDarwin[],41,1)</f>
        <v>19</v>
      </c>
      <c r="L13" s="53">
        <f>Table1[[#This Row],[MW Proyectada (Barra A)]]+Table1[[#This Row],[MW Proyectada (Barra B)]]</f>
        <v>1.42</v>
      </c>
      <c r="N13" s="53">
        <f>IF(Table1[[#This Row],[TOTAL MW]]&lt;($P$1-Table18[[#This Row],[TOTAL MW]]),Table1[[#This Row],[MW Proyectada (Barra A)]],Table1[[#This Row],[MW Proyectada (Barra A)]]*($P$1-Table18[[#This Row],[TOTAL MW]])/Table1[[#This Row],[TOTAL MW]])</f>
        <v>0.495</v>
      </c>
      <c r="O13" s="53">
        <f>IF(Table1[[#This Row],[TOTAL MW]]&lt;($P$1-Table18[[#This Row],[TOTAL MW]]),Table1[[#This Row],[MW Proyectada (Barra B)]],Table1[[#This Row],[MW Proyectada (Barra B)]]*($P$1-Table18[[#This Row],[TOTAL MW]])/Table1[[#This Row],[TOTAL MW]])</f>
        <v>0.92500000000000004</v>
      </c>
      <c r="P13" s="53">
        <f t="shared" si="0"/>
        <v>1.42</v>
      </c>
    </row>
    <row r="14" spans="1:16" x14ac:dyDescent="0.25">
      <c r="A14" s="105">
        <f t="shared" si="1"/>
        <v>45583.229166666693</v>
      </c>
      <c r="B14" s="51">
        <f t="shared" si="2"/>
        <v>0.22916666666666669</v>
      </c>
      <c r="C14" s="1">
        <f>'Plantilla Datos'!K20</f>
        <v>9</v>
      </c>
      <c r="F14" s="106">
        <f>(Table2[[#This Row],[Fecha]]+2)</f>
        <v>45585.229166666693</v>
      </c>
      <c r="G14" s="52">
        <f>Table2[[#This Row],[Hora]]</f>
        <v>0.22916666666666669</v>
      </c>
      <c r="H14" s="53">
        <f>VLOOKUP(Table1[[#This Row],[Fecha]],TBL_CalcDarwin[],42,1)</f>
        <v>0.495</v>
      </c>
      <c r="I14" s="53">
        <f>VLOOKUP(Table1[[#This Row],[Fecha]],TBL_CalcDarwin[],43,1)</f>
        <v>0.92500000000000004</v>
      </c>
      <c r="J14" s="73">
        <f>VLOOKUP(Table1[[#This Row],[Fecha]],TBL_CalcDarwin[],40,1)</f>
        <v>22</v>
      </c>
      <c r="K14" s="73">
        <f>VLOOKUP(Table1[[#This Row],[Fecha]],TBL_CalcDarwin[],41,1)</f>
        <v>19</v>
      </c>
      <c r="L14" s="53">
        <f>Table1[[#This Row],[MW Proyectada (Barra A)]]+Table1[[#This Row],[MW Proyectada (Barra B)]]</f>
        <v>1.42</v>
      </c>
      <c r="N14" s="53">
        <f>IF(Table1[[#This Row],[TOTAL MW]]&lt;($P$1-Table18[[#This Row],[TOTAL MW]]),Table1[[#This Row],[MW Proyectada (Barra A)]],Table1[[#This Row],[MW Proyectada (Barra A)]]*($P$1-Table18[[#This Row],[TOTAL MW]])/Table1[[#This Row],[TOTAL MW]])</f>
        <v>0.495</v>
      </c>
      <c r="O14" s="53">
        <f>IF(Table1[[#This Row],[TOTAL MW]]&lt;($P$1-Table18[[#This Row],[TOTAL MW]]),Table1[[#This Row],[MW Proyectada (Barra B)]],Table1[[#This Row],[MW Proyectada (Barra B)]]*($P$1-Table18[[#This Row],[TOTAL MW]])/Table1[[#This Row],[TOTAL MW]])</f>
        <v>0.92500000000000004</v>
      </c>
      <c r="P14" s="53">
        <f t="shared" si="0"/>
        <v>1.42</v>
      </c>
    </row>
    <row r="15" spans="1:16" x14ac:dyDescent="0.25">
      <c r="A15" s="105">
        <f t="shared" si="1"/>
        <v>45583.250000000029</v>
      </c>
      <c r="B15" s="51">
        <f t="shared" si="2"/>
        <v>0.25</v>
      </c>
      <c r="C15" s="1">
        <f>'Plantilla Datos'!K21</f>
        <v>7.2</v>
      </c>
      <c r="F15" s="106">
        <f>(Table2[[#This Row],[Fecha]]+2)</f>
        <v>45585.250000000029</v>
      </c>
      <c r="G15" s="52">
        <f>Table2[[#This Row],[Hora]]</f>
        <v>0.25</v>
      </c>
      <c r="H15" s="53">
        <f>VLOOKUP(Table1[[#This Row],[Fecha]],TBL_CalcDarwin[],42,1)</f>
        <v>0.495</v>
      </c>
      <c r="I15" s="53">
        <f>VLOOKUP(Table1[[#This Row],[Fecha]],TBL_CalcDarwin[],43,1)</f>
        <v>0.92500000000000004</v>
      </c>
      <c r="J15" s="73">
        <f>VLOOKUP(Table1[[#This Row],[Fecha]],TBL_CalcDarwin[],40,1)</f>
        <v>22</v>
      </c>
      <c r="K15" s="73">
        <f>VLOOKUP(Table1[[#This Row],[Fecha]],TBL_CalcDarwin[],41,1)</f>
        <v>19</v>
      </c>
      <c r="L15" s="53">
        <f>Table1[[#This Row],[MW Proyectada (Barra A)]]+Table1[[#This Row],[MW Proyectada (Barra B)]]</f>
        <v>1.42</v>
      </c>
      <c r="N15" s="53">
        <f>IF(Table1[[#This Row],[TOTAL MW]]&lt;($P$1-Table18[[#This Row],[TOTAL MW]]),Table1[[#This Row],[MW Proyectada (Barra A)]],Table1[[#This Row],[MW Proyectada (Barra A)]]*($P$1-Table18[[#This Row],[TOTAL MW]])/Table1[[#This Row],[TOTAL MW]])</f>
        <v>0.495</v>
      </c>
      <c r="O15" s="53">
        <f>IF(Table1[[#This Row],[TOTAL MW]]&lt;($P$1-Table18[[#This Row],[TOTAL MW]]),Table1[[#This Row],[MW Proyectada (Barra B)]],Table1[[#This Row],[MW Proyectada (Barra B)]]*($P$1-Table18[[#This Row],[TOTAL MW]])/Table1[[#This Row],[TOTAL MW]])</f>
        <v>0.92500000000000004</v>
      </c>
      <c r="P15" s="53">
        <f t="shared" si="0"/>
        <v>1.42</v>
      </c>
    </row>
    <row r="16" spans="1:16" x14ac:dyDescent="0.25">
      <c r="A16" s="105">
        <f t="shared" si="1"/>
        <v>45583.270833333365</v>
      </c>
      <c r="B16" s="51">
        <f t="shared" si="2"/>
        <v>0.27083333333333331</v>
      </c>
      <c r="C16" s="1">
        <f>'Plantilla Datos'!K22</f>
        <v>7.3</v>
      </c>
      <c r="F16" s="106">
        <f>(Table2[[#This Row],[Fecha]]+2)</f>
        <v>45585.270833333365</v>
      </c>
      <c r="G16" s="52">
        <f>Table2[[#This Row],[Hora]]</f>
        <v>0.27083333333333331</v>
      </c>
      <c r="H16" s="53">
        <f>VLOOKUP(Table1[[#This Row],[Fecha]],TBL_CalcDarwin[],42,1)</f>
        <v>0.495</v>
      </c>
      <c r="I16" s="53">
        <f>VLOOKUP(Table1[[#This Row],[Fecha]],TBL_CalcDarwin[],43,1)</f>
        <v>0.92500000000000004</v>
      </c>
      <c r="J16" s="73">
        <f>VLOOKUP(Table1[[#This Row],[Fecha]],TBL_CalcDarwin[],40,1)</f>
        <v>22</v>
      </c>
      <c r="K16" s="73">
        <f>VLOOKUP(Table1[[#This Row],[Fecha]],TBL_CalcDarwin[],41,1)</f>
        <v>19</v>
      </c>
      <c r="L16" s="53">
        <f>Table1[[#This Row],[MW Proyectada (Barra A)]]+Table1[[#This Row],[MW Proyectada (Barra B)]]</f>
        <v>1.42</v>
      </c>
      <c r="N16" s="53">
        <f>IF(Table1[[#This Row],[TOTAL MW]]&lt;($P$1-Table18[[#This Row],[TOTAL MW]]),Table1[[#This Row],[MW Proyectada (Barra A)]],Table1[[#This Row],[MW Proyectada (Barra A)]]*($P$1-Table18[[#This Row],[TOTAL MW]])/Table1[[#This Row],[TOTAL MW]])</f>
        <v>0.495</v>
      </c>
      <c r="O16" s="53">
        <f>IF(Table1[[#This Row],[TOTAL MW]]&lt;($P$1-Table18[[#This Row],[TOTAL MW]]),Table1[[#This Row],[MW Proyectada (Barra B)]],Table1[[#This Row],[MW Proyectada (Barra B)]]*($P$1-Table18[[#This Row],[TOTAL MW]])/Table1[[#This Row],[TOTAL MW]])</f>
        <v>0.92500000000000004</v>
      </c>
      <c r="P16" s="53">
        <f t="shared" si="0"/>
        <v>1.42</v>
      </c>
    </row>
    <row r="17" spans="1:16" x14ac:dyDescent="0.25">
      <c r="A17" s="105">
        <f t="shared" si="1"/>
        <v>45583.291666666701</v>
      </c>
      <c r="B17" s="51">
        <f t="shared" si="2"/>
        <v>0.29166666666666663</v>
      </c>
      <c r="C17" s="1">
        <f>'Plantilla Datos'!K23</f>
        <v>9.1999999999999993</v>
      </c>
      <c r="F17" s="106">
        <f>(Table2[[#This Row],[Fecha]]+2)</f>
        <v>45585.291666666701</v>
      </c>
      <c r="G17" s="52">
        <f>Table2[[#This Row],[Hora]]</f>
        <v>0.29166666666666663</v>
      </c>
      <c r="H17" s="53">
        <f>VLOOKUP(Table1[[#This Row],[Fecha]],TBL_CalcDarwin[],42,1)</f>
        <v>0</v>
      </c>
      <c r="I17" s="53">
        <f>VLOOKUP(Table1[[#This Row],[Fecha]],TBL_CalcDarwin[],43,1)</f>
        <v>0</v>
      </c>
      <c r="J17" s="73">
        <f>VLOOKUP(Table1[[#This Row],[Fecha]],TBL_CalcDarwin[],40,1)</f>
        <v>22</v>
      </c>
      <c r="K17" s="73">
        <f>VLOOKUP(Table1[[#This Row],[Fecha]],TBL_CalcDarwin[],41,1)</f>
        <v>19</v>
      </c>
      <c r="L17" s="53">
        <f>Table1[[#This Row],[MW Proyectada (Barra A)]]+Table1[[#This Row],[MW Proyectada (Barra B)]]</f>
        <v>0</v>
      </c>
      <c r="N17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17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17" s="53">
        <f t="shared" si="0"/>
        <v>0</v>
      </c>
    </row>
    <row r="18" spans="1:16" x14ac:dyDescent="0.25">
      <c r="A18" s="105">
        <f t="shared" si="1"/>
        <v>45583.312500000036</v>
      </c>
      <c r="B18" s="51">
        <f t="shared" si="2"/>
        <v>0.31249999999999994</v>
      </c>
      <c r="C18" s="1">
        <f>'Plantilla Datos'!K24</f>
        <v>7.5</v>
      </c>
      <c r="F18" s="106">
        <f>(Table2[[#This Row],[Fecha]]+2)</f>
        <v>45585.312500000036</v>
      </c>
      <c r="G18" s="52">
        <f>Table2[[#This Row],[Hora]]</f>
        <v>0.31249999999999994</v>
      </c>
      <c r="H18" s="53">
        <f>VLOOKUP(Table1[[#This Row],[Fecha]],TBL_CalcDarwin[],42,1)</f>
        <v>0</v>
      </c>
      <c r="I18" s="53">
        <f>VLOOKUP(Table1[[#This Row],[Fecha]],TBL_CalcDarwin[],43,1)</f>
        <v>0</v>
      </c>
      <c r="J18" s="73">
        <f>VLOOKUP(Table1[[#This Row],[Fecha]],TBL_CalcDarwin[],40,1)</f>
        <v>22</v>
      </c>
      <c r="K18" s="73">
        <f>VLOOKUP(Table1[[#This Row],[Fecha]],TBL_CalcDarwin[],41,1)</f>
        <v>19</v>
      </c>
      <c r="L18" s="53">
        <f>Table1[[#This Row],[MW Proyectada (Barra A)]]+Table1[[#This Row],[MW Proyectada (Barra B)]]</f>
        <v>0</v>
      </c>
      <c r="N18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18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18" s="53">
        <f t="shared" si="0"/>
        <v>0</v>
      </c>
    </row>
    <row r="19" spans="1:16" x14ac:dyDescent="0.25">
      <c r="A19" s="105">
        <f t="shared" si="1"/>
        <v>45583.333333333372</v>
      </c>
      <c r="B19" s="51">
        <f t="shared" si="2"/>
        <v>0.33333333333333326</v>
      </c>
      <c r="C19" s="1">
        <f>'Plantilla Datos'!K25</f>
        <v>7.8</v>
      </c>
      <c r="F19" s="106">
        <f>(Table2[[#This Row],[Fecha]]+2)</f>
        <v>45585.333333333372</v>
      </c>
      <c r="G19" s="52">
        <f>Table2[[#This Row],[Hora]]</f>
        <v>0.33333333333333326</v>
      </c>
      <c r="H19" s="53">
        <f>VLOOKUP(Table1[[#This Row],[Fecha]],TBL_CalcDarwin[],42,1)</f>
        <v>1.885</v>
      </c>
      <c r="I19" s="53">
        <f>VLOOKUP(Table1[[#This Row],[Fecha]],TBL_CalcDarwin[],43,1)</f>
        <v>2.2930000000000001</v>
      </c>
      <c r="J19" s="73">
        <f>VLOOKUP(Table1[[#This Row],[Fecha]],TBL_CalcDarwin[],40,1)</f>
        <v>22</v>
      </c>
      <c r="K19" s="73">
        <f>VLOOKUP(Table1[[#This Row],[Fecha]],TBL_CalcDarwin[],41,1)</f>
        <v>19</v>
      </c>
      <c r="L19" s="53">
        <f>Table1[[#This Row],[MW Proyectada (Barra A)]]+Table1[[#This Row],[MW Proyectada (Barra B)]]</f>
        <v>4.1779999999999999</v>
      </c>
      <c r="N19" s="53">
        <f>IF(Table1[[#This Row],[TOTAL MW]]&lt;($P$1-Table18[[#This Row],[TOTAL MW]]),Table1[[#This Row],[MW Proyectada (Barra A)]],Table1[[#This Row],[MW Proyectada (Barra A)]]*($P$1-Table18[[#This Row],[TOTAL MW]])/Table1[[#This Row],[TOTAL MW]])</f>
        <v>1.885</v>
      </c>
      <c r="O19" s="53">
        <f>IF(Table1[[#This Row],[TOTAL MW]]&lt;($P$1-Table18[[#This Row],[TOTAL MW]]),Table1[[#This Row],[MW Proyectada (Barra B)]],Table1[[#This Row],[MW Proyectada (Barra B)]]*($P$1-Table18[[#This Row],[TOTAL MW]])/Table1[[#This Row],[TOTAL MW]])</f>
        <v>2.2930000000000001</v>
      </c>
      <c r="P19" s="53">
        <f t="shared" si="0"/>
        <v>4.1779999999999999</v>
      </c>
    </row>
    <row r="20" spans="1:16" x14ac:dyDescent="0.25">
      <c r="A20" s="105">
        <f t="shared" si="1"/>
        <v>45583.354166666708</v>
      </c>
      <c r="B20" s="51">
        <f t="shared" si="2"/>
        <v>0.35416666666666657</v>
      </c>
      <c r="C20" s="1">
        <f>'Plantilla Datos'!K26</f>
        <v>6.7</v>
      </c>
      <c r="F20" s="106">
        <f>(Table2[[#This Row],[Fecha]]+2)</f>
        <v>45585.354166666708</v>
      </c>
      <c r="G20" s="52">
        <f>Table2[[#This Row],[Hora]]</f>
        <v>0.35416666666666657</v>
      </c>
      <c r="H20" s="53">
        <f>VLOOKUP(Table1[[#This Row],[Fecha]],TBL_CalcDarwin[],42,1)</f>
        <v>1.885</v>
      </c>
      <c r="I20" s="53">
        <f>VLOOKUP(Table1[[#This Row],[Fecha]],TBL_CalcDarwin[],43,1)</f>
        <v>2.2930000000000001</v>
      </c>
      <c r="J20" s="73">
        <f>VLOOKUP(Table1[[#This Row],[Fecha]],TBL_CalcDarwin[],40,1)</f>
        <v>22</v>
      </c>
      <c r="K20" s="73">
        <f>VLOOKUP(Table1[[#This Row],[Fecha]],TBL_CalcDarwin[],41,1)</f>
        <v>19</v>
      </c>
      <c r="L20" s="53">
        <f>Table1[[#This Row],[MW Proyectada (Barra A)]]+Table1[[#This Row],[MW Proyectada (Barra B)]]</f>
        <v>4.1779999999999999</v>
      </c>
      <c r="N20" s="53">
        <f>IF(Table1[[#This Row],[TOTAL MW]]&lt;($P$1-Table18[[#This Row],[TOTAL MW]]),Table1[[#This Row],[MW Proyectada (Barra A)]],Table1[[#This Row],[MW Proyectada (Barra A)]]*($P$1-Table18[[#This Row],[TOTAL MW]])/Table1[[#This Row],[TOTAL MW]])</f>
        <v>1.885</v>
      </c>
      <c r="O20" s="53">
        <f>IF(Table1[[#This Row],[TOTAL MW]]&lt;($P$1-Table18[[#This Row],[TOTAL MW]]),Table1[[#This Row],[MW Proyectada (Barra B)]],Table1[[#This Row],[MW Proyectada (Barra B)]]*($P$1-Table18[[#This Row],[TOTAL MW]])/Table1[[#This Row],[TOTAL MW]])</f>
        <v>2.2930000000000001</v>
      </c>
      <c r="P20" s="53">
        <f t="shared" si="0"/>
        <v>4.1779999999999999</v>
      </c>
    </row>
    <row r="21" spans="1:16" x14ac:dyDescent="0.25">
      <c r="A21" s="105">
        <f t="shared" si="1"/>
        <v>45583.375000000044</v>
      </c>
      <c r="B21" s="51">
        <f t="shared" si="2"/>
        <v>0.37499999999999989</v>
      </c>
      <c r="C21" s="1">
        <f>'Plantilla Datos'!K27</f>
        <v>7</v>
      </c>
      <c r="F21" s="106">
        <f>(Table2[[#This Row],[Fecha]]+2)</f>
        <v>45585.375000000044</v>
      </c>
      <c r="G21" s="52">
        <f>Table2[[#This Row],[Hora]]</f>
        <v>0.37499999999999989</v>
      </c>
      <c r="H21" s="53">
        <f>VLOOKUP(Table1[[#This Row],[Fecha]],TBL_CalcDarwin[],42,1)</f>
        <v>5.9260000000000002</v>
      </c>
      <c r="I21" s="53">
        <f>VLOOKUP(Table1[[#This Row],[Fecha]],TBL_CalcDarwin[],43,1)</f>
        <v>6.8079999999999998</v>
      </c>
      <c r="J21" s="73">
        <f>VLOOKUP(Table1[[#This Row],[Fecha]],TBL_CalcDarwin[],40,1)</f>
        <v>22</v>
      </c>
      <c r="K21" s="73">
        <f>VLOOKUP(Table1[[#This Row],[Fecha]],TBL_CalcDarwin[],41,1)</f>
        <v>19</v>
      </c>
      <c r="L21" s="53">
        <f>Table1[[#This Row],[MW Proyectada (Barra A)]]+Table1[[#This Row],[MW Proyectada (Barra B)]]</f>
        <v>12.734</v>
      </c>
      <c r="N21" s="53">
        <f>IF(Table1[[#This Row],[TOTAL MW]]&lt;($P$1-Table18[[#This Row],[TOTAL MW]]),Table1[[#This Row],[MW Proyectada (Barra A)]],Table1[[#This Row],[MW Proyectada (Barra A)]]*($P$1-Table18[[#This Row],[TOTAL MW]])/Table1[[#This Row],[TOTAL MW]])</f>
        <v>5.9260000000000002</v>
      </c>
      <c r="O21" s="53">
        <f>IF(Table1[[#This Row],[TOTAL MW]]&lt;($P$1-Table18[[#This Row],[TOTAL MW]]),Table1[[#This Row],[MW Proyectada (Barra B)]],Table1[[#This Row],[MW Proyectada (Barra B)]]*($P$1-Table18[[#This Row],[TOTAL MW]])/Table1[[#This Row],[TOTAL MW]])</f>
        <v>6.8079999999999998</v>
      </c>
      <c r="P21" s="53">
        <f t="shared" si="0"/>
        <v>12.734</v>
      </c>
    </row>
    <row r="22" spans="1:16" x14ac:dyDescent="0.25">
      <c r="A22" s="105">
        <f t="shared" si="1"/>
        <v>45583.395833333379</v>
      </c>
      <c r="B22" s="51">
        <f t="shared" si="2"/>
        <v>0.3958333333333332</v>
      </c>
      <c r="C22" s="1">
        <f>'Plantilla Datos'!K28</f>
        <v>8</v>
      </c>
      <c r="F22" s="106">
        <f>(Table2[[#This Row],[Fecha]]+2)</f>
        <v>45585.395833333379</v>
      </c>
      <c r="G22" s="52">
        <f>Table2[[#This Row],[Hora]]</f>
        <v>0.3958333333333332</v>
      </c>
      <c r="H22" s="53">
        <f>VLOOKUP(Table1[[#This Row],[Fecha]],TBL_CalcDarwin[],42,1)</f>
        <v>5.9260000000000002</v>
      </c>
      <c r="I22" s="53">
        <f>VLOOKUP(Table1[[#This Row],[Fecha]],TBL_CalcDarwin[],43,1)</f>
        <v>6.8079999999999998</v>
      </c>
      <c r="J22" s="73">
        <f>VLOOKUP(Table1[[#This Row],[Fecha]],TBL_CalcDarwin[],40,1)</f>
        <v>22</v>
      </c>
      <c r="K22" s="73">
        <f>VLOOKUP(Table1[[#This Row],[Fecha]],TBL_CalcDarwin[],41,1)</f>
        <v>19</v>
      </c>
      <c r="L22" s="53">
        <f>Table1[[#This Row],[MW Proyectada (Barra A)]]+Table1[[#This Row],[MW Proyectada (Barra B)]]</f>
        <v>12.734</v>
      </c>
      <c r="N22" s="53">
        <f>IF(Table1[[#This Row],[TOTAL MW]]&lt;($P$1-Table18[[#This Row],[TOTAL MW]]),Table1[[#This Row],[MW Proyectada (Barra A)]],Table1[[#This Row],[MW Proyectada (Barra A)]]*($P$1-Table18[[#This Row],[TOTAL MW]])/Table1[[#This Row],[TOTAL MW]])</f>
        <v>5.9260000000000002</v>
      </c>
      <c r="O22" s="53">
        <f>IF(Table1[[#This Row],[TOTAL MW]]&lt;($P$1-Table18[[#This Row],[TOTAL MW]]),Table1[[#This Row],[MW Proyectada (Barra B)]],Table1[[#This Row],[MW Proyectada (Barra B)]]*($P$1-Table18[[#This Row],[TOTAL MW]])/Table1[[#This Row],[TOTAL MW]])</f>
        <v>6.8079999999999998</v>
      </c>
      <c r="P22" s="53">
        <f t="shared" si="0"/>
        <v>12.734</v>
      </c>
    </row>
    <row r="23" spans="1:16" x14ac:dyDescent="0.25">
      <c r="A23" s="105">
        <f t="shared" si="1"/>
        <v>45583.416666666715</v>
      </c>
      <c r="B23" s="51">
        <f t="shared" si="2"/>
        <v>0.41666666666666652</v>
      </c>
      <c r="C23" s="1">
        <f>'Plantilla Datos'!K29</f>
        <v>10.4</v>
      </c>
      <c r="F23" s="106">
        <f>(Table2[[#This Row],[Fecha]]+2)</f>
        <v>45585.416666666715</v>
      </c>
      <c r="G23" s="52">
        <f>Table2[[#This Row],[Hora]]</f>
        <v>0.41666666666666652</v>
      </c>
      <c r="H23" s="53">
        <f>VLOOKUP(Table1[[#This Row],[Fecha]],TBL_CalcDarwin[],42,1)</f>
        <v>11.998000000000001</v>
      </c>
      <c r="I23" s="53">
        <f>VLOOKUP(Table1[[#This Row],[Fecha]],TBL_CalcDarwin[],43,1)</f>
        <v>13.425000000000001</v>
      </c>
      <c r="J23" s="73">
        <f>VLOOKUP(Table1[[#This Row],[Fecha]],TBL_CalcDarwin[],40,1)</f>
        <v>22</v>
      </c>
      <c r="K23" s="73">
        <f>VLOOKUP(Table1[[#This Row],[Fecha]],TBL_CalcDarwin[],41,1)</f>
        <v>19</v>
      </c>
      <c r="L23" s="53">
        <f>Table1[[#This Row],[MW Proyectada (Barra A)]]+Table1[[#This Row],[MW Proyectada (Barra B)]]</f>
        <v>25.423000000000002</v>
      </c>
      <c r="N23" s="53">
        <f>IF(Table1[[#This Row],[TOTAL MW]]&lt;($P$1-Table18[[#This Row],[TOTAL MW]]),Table1[[#This Row],[MW Proyectada (Barra A)]],Table1[[#This Row],[MW Proyectada (Barra A)]]*($P$1-Table18[[#This Row],[TOTAL MW]])/Table1[[#This Row],[TOTAL MW]])</f>
        <v>11.998000000000001</v>
      </c>
      <c r="O23" s="53">
        <f>IF(Table1[[#This Row],[TOTAL MW]]&lt;($P$1-Table18[[#This Row],[TOTAL MW]]),Table1[[#This Row],[MW Proyectada (Barra B)]],Table1[[#This Row],[MW Proyectada (Barra B)]]*($P$1-Table18[[#This Row],[TOTAL MW]])/Table1[[#This Row],[TOTAL MW]])</f>
        <v>13.425000000000001</v>
      </c>
      <c r="P23" s="53">
        <f t="shared" si="0"/>
        <v>25.423000000000002</v>
      </c>
    </row>
    <row r="24" spans="1:16" x14ac:dyDescent="0.25">
      <c r="A24" s="105">
        <f t="shared" si="1"/>
        <v>45583.437500000051</v>
      </c>
      <c r="B24" s="51">
        <f t="shared" si="2"/>
        <v>0.43749999999999983</v>
      </c>
      <c r="C24" s="1">
        <f>'Plantilla Datos'!K30</f>
        <v>10</v>
      </c>
      <c r="F24" s="106">
        <f>(Table2[[#This Row],[Fecha]]+2)</f>
        <v>45585.437500000051</v>
      </c>
      <c r="G24" s="52">
        <f>Table2[[#This Row],[Hora]]</f>
        <v>0.43749999999999983</v>
      </c>
      <c r="H24" s="53">
        <f>VLOOKUP(Table1[[#This Row],[Fecha]],TBL_CalcDarwin[],42,1)</f>
        <v>11.998000000000001</v>
      </c>
      <c r="I24" s="53">
        <f>VLOOKUP(Table1[[#This Row],[Fecha]],TBL_CalcDarwin[],43,1)</f>
        <v>13.425000000000001</v>
      </c>
      <c r="J24" s="73">
        <f>VLOOKUP(Table1[[#This Row],[Fecha]],TBL_CalcDarwin[],40,1)</f>
        <v>22</v>
      </c>
      <c r="K24" s="73">
        <f>VLOOKUP(Table1[[#This Row],[Fecha]],TBL_CalcDarwin[],41,1)</f>
        <v>19</v>
      </c>
      <c r="L24" s="53">
        <f>Table1[[#This Row],[MW Proyectada (Barra A)]]+Table1[[#This Row],[MW Proyectada (Barra B)]]</f>
        <v>25.423000000000002</v>
      </c>
      <c r="N24" s="53">
        <f>IF(Table1[[#This Row],[TOTAL MW]]&lt;($P$1-Table18[[#This Row],[TOTAL MW]]),Table1[[#This Row],[MW Proyectada (Barra A)]],Table1[[#This Row],[MW Proyectada (Barra A)]]*($P$1-Table18[[#This Row],[TOTAL MW]])/Table1[[#This Row],[TOTAL MW]])</f>
        <v>11.998000000000001</v>
      </c>
      <c r="O24" s="53">
        <f>IF(Table1[[#This Row],[TOTAL MW]]&lt;($P$1-Table18[[#This Row],[TOTAL MW]]),Table1[[#This Row],[MW Proyectada (Barra B)]],Table1[[#This Row],[MW Proyectada (Barra B)]]*($P$1-Table18[[#This Row],[TOTAL MW]])/Table1[[#This Row],[TOTAL MW]])</f>
        <v>13.425000000000001</v>
      </c>
      <c r="P24" s="53">
        <f t="shared" si="0"/>
        <v>25.423000000000002</v>
      </c>
    </row>
    <row r="25" spans="1:16" x14ac:dyDescent="0.25">
      <c r="A25" s="105">
        <f t="shared" si="1"/>
        <v>45583.458333333387</v>
      </c>
      <c r="B25" s="51">
        <f t="shared" si="2"/>
        <v>0.45833333333333315</v>
      </c>
      <c r="C25" s="1">
        <f>'Plantilla Datos'!K31</f>
        <v>9.5</v>
      </c>
      <c r="F25" s="106">
        <f>(Table2[[#This Row],[Fecha]]+2)</f>
        <v>45585.458333333387</v>
      </c>
      <c r="G25" s="52">
        <f>Table2[[#This Row],[Hora]]</f>
        <v>0.45833333333333315</v>
      </c>
      <c r="H25" s="53">
        <f>VLOOKUP(Table1[[#This Row],[Fecha]],TBL_CalcDarwin[],42,1)</f>
        <v>14.968</v>
      </c>
      <c r="I25" s="53">
        <f>VLOOKUP(Table1[[#This Row],[Fecha]],TBL_CalcDarwin[],43,1)</f>
        <v>17.624000000000002</v>
      </c>
      <c r="J25" s="73">
        <f>VLOOKUP(Table1[[#This Row],[Fecha]],TBL_CalcDarwin[],40,1)</f>
        <v>22</v>
      </c>
      <c r="K25" s="73">
        <f>VLOOKUP(Table1[[#This Row],[Fecha]],TBL_CalcDarwin[],41,1)</f>
        <v>19</v>
      </c>
      <c r="L25" s="53">
        <f>Table1[[#This Row],[MW Proyectada (Barra A)]]+Table1[[#This Row],[MW Proyectada (Barra B)]]</f>
        <v>32.591999999999999</v>
      </c>
      <c r="N25" s="53">
        <f>IF(Table1[[#This Row],[TOTAL MW]]&lt;($P$1-Table18[[#This Row],[TOTAL MW]]),Table1[[#This Row],[MW Proyectada (Barra A)]],Table1[[#This Row],[MW Proyectada (Barra A)]]*($P$1-Table18[[#This Row],[TOTAL MW]])/Table1[[#This Row],[TOTAL MW]])</f>
        <v>14.968</v>
      </c>
      <c r="O25" s="53">
        <f>IF(Table1[[#This Row],[TOTAL MW]]&lt;($P$1-Table18[[#This Row],[TOTAL MW]]),Table1[[#This Row],[MW Proyectada (Barra B)]],Table1[[#This Row],[MW Proyectada (Barra B)]]*($P$1-Table18[[#This Row],[TOTAL MW]])/Table1[[#This Row],[TOTAL MW]])</f>
        <v>17.624000000000002</v>
      </c>
      <c r="P25" s="53">
        <f t="shared" si="0"/>
        <v>32.591999999999999</v>
      </c>
    </row>
    <row r="26" spans="1:16" x14ac:dyDescent="0.25">
      <c r="A26" s="105">
        <f t="shared" si="1"/>
        <v>45583.479166666722</v>
      </c>
      <c r="B26" s="51">
        <f t="shared" si="2"/>
        <v>0.47916666666666646</v>
      </c>
      <c r="C26" s="1">
        <f>'Plantilla Datos'!K32</f>
        <v>10.5</v>
      </c>
      <c r="F26" s="106">
        <f>(Table2[[#This Row],[Fecha]]+2)</f>
        <v>45585.479166666722</v>
      </c>
      <c r="G26" s="52">
        <f>Table2[[#This Row],[Hora]]</f>
        <v>0.47916666666666646</v>
      </c>
      <c r="H26" s="53">
        <f>VLOOKUP(Table1[[#This Row],[Fecha]],TBL_CalcDarwin[],42,1)</f>
        <v>14.968</v>
      </c>
      <c r="I26" s="53">
        <f>VLOOKUP(Table1[[#This Row],[Fecha]],TBL_CalcDarwin[],43,1)</f>
        <v>17.624000000000002</v>
      </c>
      <c r="J26" s="73">
        <f>VLOOKUP(Table1[[#This Row],[Fecha]],TBL_CalcDarwin[],40,1)</f>
        <v>22</v>
      </c>
      <c r="K26" s="73">
        <f>VLOOKUP(Table1[[#This Row],[Fecha]],TBL_CalcDarwin[],41,1)</f>
        <v>19</v>
      </c>
      <c r="L26" s="53">
        <f>Table1[[#This Row],[MW Proyectada (Barra A)]]+Table1[[#This Row],[MW Proyectada (Barra B)]]</f>
        <v>32.591999999999999</v>
      </c>
      <c r="N26" s="53">
        <f>IF(Table1[[#This Row],[TOTAL MW]]&lt;($P$1-Table18[[#This Row],[TOTAL MW]]),Table1[[#This Row],[MW Proyectada (Barra A)]],Table1[[#This Row],[MW Proyectada (Barra A)]]*($P$1-Table18[[#This Row],[TOTAL MW]])/Table1[[#This Row],[TOTAL MW]])</f>
        <v>14.968</v>
      </c>
      <c r="O26" s="53">
        <f>IF(Table1[[#This Row],[TOTAL MW]]&lt;($P$1-Table18[[#This Row],[TOTAL MW]]),Table1[[#This Row],[MW Proyectada (Barra B)]],Table1[[#This Row],[MW Proyectada (Barra B)]]*($P$1-Table18[[#This Row],[TOTAL MW]])/Table1[[#This Row],[TOTAL MW]])</f>
        <v>17.624000000000002</v>
      </c>
      <c r="P26" s="53">
        <f t="shared" si="0"/>
        <v>32.591999999999999</v>
      </c>
    </row>
    <row r="27" spans="1:16" x14ac:dyDescent="0.25">
      <c r="A27" s="105">
        <f t="shared" si="1"/>
        <v>45583.500000000058</v>
      </c>
      <c r="B27" s="51">
        <f t="shared" si="2"/>
        <v>0.49999999999999978</v>
      </c>
      <c r="C27" s="1">
        <f>'Plantilla Datos'!K33</f>
        <v>11.7</v>
      </c>
      <c r="F27" s="106">
        <f>(Table2[[#This Row],[Fecha]]+2)</f>
        <v>45585.500000000058</v>
      </c>
      <c r="G27" s="52">
        <f>Table2[[#This Row],[Hora]]</f>
        <v>0.49999999999999978</v>
      </c>
      <c r="H27" s="53">
        <f>VLOOKUP(Table1[[#This Row],[Fecha]],TBL_CalcDarwin[],42,1)</f>
        <v>18.901</v>
      </c>
      <c r="I27" s="53">
        <f>VLOOKUP(Table1[[#This Row],[Fecha]],TBL_CalcDarwin[],43,1)</f>
        <v>22.632999999999999</v>
      </c>
      <c r="J27" s="73">
        <f>VLOOKUP(Table1[[#This Row],[Fecha]],TBL_CalcDarwin[],40,1)</f>
        <v>22</v>
      </c>
      <c r="K27" s="73">
        <f>VLOOKUP(Table1[[#This Row],[Fecha]],TBL_CalcDarwin[],41,1)</f>
        <v>19</v>
      </c>
      <c r="L27" s="53">
        <f>Table1[[#This Row],[MW Proyectada (Barra A)]]+Table1[[#This Row],[MW Proyectada (Barra B)]]</f>
        <v>41.533999999999999</v>
      </c>
      <c r="N27" s="53">
        <f>IF(Table1[[#This Row],[TOTAL MW]]&lt;($P$1-Table18[[#This Row],[TOTAL MW]]),Table1[[#This Row],[MW Proyectada (Barra A)]],Table1[[#This Row],[MW Proyectada (Barra A)]]*($P$1-Table18[[#This Row],[TOTAL MW]])/Table1[[#This Row],[TOTAL MW]])</f>
        <v>18.901</v>
      </c>
      <c r="O27" s="53">
        <f>IF(Table1[[#This Row],[TOTAL MW]]&lt;($P$1-Table18[[#This Row],[TOTAL MW]]),Table1[[#This Row],[MW Proyectada (Barra B)]],Table1[[#This Row],[MW Proyectada (Barra B)]]*($P$1-Table18[[#This Row],[TOTAL MW]])/Table1[[#This Row],[TOTAL MW]])</f>
        <v>22.632999999999999</v>
      </c>
      <c r="P27" s="53">
        <f t="shared" si="0"/>
        <v>41.533999999999999</v>
      </c>
    </row>
    <row r="28" spans="1:16" x14ac:dyDescent="0.25">
      <c r="A28" s="105">
        <f t="shared" si="1"/>
        <v>45583.520833333394</v>
      </c>
      <c r="B28" s="51">
        <f t="shared" si="2"/>
        <v>0.52083333333333315</v>
      </c>
      <c r="C28" s="1">
        <f>'Plantilla Datos'!K34</f>
        <v>10.8</v>
      </c>
      <c r="F28" s="106">
        <f>(Table2[[#This Row],[Fecha]]+2)</f>
        <v>45585.520833333394</v>
      </c>
      <c r="G28" s="52">
        <f>Table2[[#This Row],[Hora]]</f>
        <v>0.52083333333333315</v>
      </c>
      <c r="H28" s="53">
        <f>VLOOKUP(Table1[[#This Row],[Fecha]],TBL_CalcDarwin[],42,1)</f>
        <v>18.901</v>
      </c>
      <c r="I28" s="53">
        <f>VLOOKUP(Table1[[#This Row],[Fecha]],TBL_CalcDarwin[],43,1)</f>
        <v>22.632999999999999</v>
      </c>
      <c r="J28" s="73">
        <f>VLOOKUP(Table1[[#This Row],[Fecha]],TBL_CalcDarwin[],40,1)</f>
        <v>22</v>
      </c>
      <c r="K28" s="73">
        <f>VLOOKUP(Table1[[#This Row],[Fecha]],TBL_CalcDarwin[],41,1)</f>
        <v>19</v>
      </c>
      <c r="L28" s="53">
        <f>Table1[[#This Row],[MW Proyectada (Barra A)]]+Table1[[#This Row],[MW Proyectada (Barra B)]]</f>
        <v>41.533999999999999</v>
      </c>
      <c r="N28" s="53">
        <f>IF(Table1[[#This Row],[TOTAL MW]]&lt;($P$1-Table18[[#This Row],[TOTAL MW]]),Table1[[#This Row],[MW Proyectada (Barra A)]],Table1[[#This Row],[MW Proyectada (Barra A)]]*($P$1-Table18[[#This Row],[TOTAL MW]])/Table1[[#This Row],[TOTAL MW]])</f>
        <v>18.901</v>
      </c>
      <c r="O28" s="53">
        <f>IF(Table1[[#This Row],[TOTAL MW]]&lt;($P$1-Table18[[#This Row],[TOTAL MW]]),Table1[[#This Row],[MW Proyectada (Barra B)]],Table1[[#This Row],[MW Proyectada (Barra B)]]*($P$1-Table18[[#This Row],[TOTAL MW]])/Table1[[#This Row],[TOTAL MW]])</f>
        <v>22.632999999999999</v>
      </c>
      <c r="P28" s="53">
        <f t="shared" si="0"/>
        <v>41.533999999999999</v>
      </c>
    </row>
    <row r="29" spans="1:16" x14ac:dyDescent="0.25">
      <c r="A29" s="105">
        <f t="shared" si="1"/>
        <v>45583.54166666673</v>
      </c>
      <c r="B29" s="51">
        <f t="shared" si="2"/>
        <v>0.54166666666666652</v>
      </c>
      <c r="C29" s="1">
        <f>'Plantilla Datos'!K35</f>
        <v>11.1</v>
      </c>
      <c r="F29" s="106">
        <f>(Table2[[#This Row],[Fecha]]+2)</f>
        <v>45585.54166666673</v>
      </c>
      <c r="G29" s="52">
        <f>Table2[[#This Row],[Hora]]</f>
        <v>0.54166666666666652</v>
      </c>
      <c r="H29" s="53">
        <f>VLOOKUP(Table1[[#This Row],[Fecha]],TBL_CalcDarwin[],42,1)</f>
        <v>24.536000000000001</v>
      </c>
      <c r="I29" s="53">
        <f>VLOOKUP(Table1[[#This Row],[Fecha]],TBL_CalcDarwin[],43,1)</f>
        <v>28.661000000000001</v>
      </c>
      <c r="J29" s="73">
        <f>VLOOKUP(Table1[[#This Row],[Fecha]],TBL_CalcDarwin[],40,1)</f>
        <v>22</v>
      </c>
      <c r="K29" s="73">
        <f>VLOOKUP(Table1[[#This Row],[Fecha]],TBL_CalcDarwin[],41,1)</f>
        <v>19</v>
      </c>
      <c r="L29" s="53">
        <f>Table1[[#This Row],[MW Proyectada (Barra A)]]+Table1[[#This Row],[MW Proyectada (Barra B)]]</f>
        <v>53.197000000000003</v>
      </c>
      <c r="N29" s="53">
        <f>IF(Table1[[#This Row],[TOTAL MW]]&lt;($P$1-Table18[[#This Row],[TOTAL MW]]),Table1[[#This Row],[MW Proyectada (Barra A)]],Table1[[#This Row],[MW Proyectada (Barra A)]]*($P$1-Table18[[#This Row],[TOTAL MW]])/Table1[[#This Row],[TOTAL MW]])</f>
        <v>24.536000000000001</v>
      </c>
      <c r="O29" s="53">
        <f>IF(Table1[[#This Row],[TOTAL MW]]&lt;($P$1-Table18[[#This Row],[TOTAL MW]]),Table1[[#This Row],[MW Proyectada (Barra B)]],Table1[[#This Row],[MW Proyectada (Barra B)]]*($P$1-Table18[[#This Row],[TOTAL MW]])/Table1[[#This Row],[TOTAL MW]])</f>
        <v>28.661000000000001</v>
      </c>
      <c r="P29" s="53">
        <f t="shared" si="0"/>
        <v>53.197000000000003</v>
      </c>
    </row>
    <row r="30" spans="1:16" x14ac:dyDescent="0.25">
      <c r="A30" s="105">
        <f t="shared" si="1"/>
        <v>45583.562500000065</v>
      </c>
      <c r="B30" s="51">
        <f t="shared" si="2"/>
        <v>0.56249999999999989</v>
      </c>
      <c r="C30" s="1">
        <f>'Plantilla Datos'!K36</f>
        <v>10.5</v>
      </c>
      <c r="F30" s="106">
        <f>(Table2[[#This Row],[Fecha]]+2)</f>
        <v>45585.562500000065</v>
      </c>
      <c r="G30" s="52">
        <f>Table2[[#This Row],[Hora]]</f>
        <v>0.56249999999999989</v>
      </c>
      <c r="H30" s="53">
        <f>VLOOKUP(Table1[[#This Row],[Fecha]],TBL_CalcDarwin[],42,1)</f>
        <v>24.536000000000001</v>
      </c>
      <c r="I30" s="53">
        <f>VLOOKUP(Table1[[#This Row],[Fecha]],TBL_CalcDarwin[],43,1)</f>
        <v>28.661000000000001</v>
      </c>
      <c r="J30" s="73">
        <f>VLOOKUP(Table1[[#This Row],[Fecha]],TBL_CalcDarwin[],40,1)</f>
        <v>22</v>
      </c>
      <c r="K30" s="73">
        <f>VLOOKUP(Table1[[#This Row],[Fecha]],TBL_CalcDarwin[],41,1)</f>
        <v>19</v>
      </c>
      <c r="L30" s="53">
        <f>Table1[[#This Row],[MW Proyectada (Barra A)]]+Table1[[#This Row],[MW Proyectada (Barra B)]]</f>
        <v>53.197000000000003</v>
      </c>
      <c r="N30" s="53">
        <f>IF(Table1[[#This Row],[TOTAL MW]]&lt;($P$1-Table18[[#This Row],[TOTAL MW]]),Table1[[#This Row],[MW Proyectada (Barra A)]],Table1[[#This Row],[MW Proyectada (Barra A)]]*($P$1-Table18[[#This Row],[TOTAL MW]])/Table1[[#This Row],[TOTAL MW]])</f>
        <v>24.536000000000001</v>
      </c>
      <c r="O30" s="53">
        <f>IF(Table1[[#This Row],[TOTAL MW]]&lt;($P$1-Table18[[#This Row],[TOTAL MW]]),Table1[[#This Row],[MW Proyectada (Barra B)]],Table1[[#This Row],[MW Proyectada (Barra B)]]*($P$1-Table18[[#This Row],[TOTAL MW]])/Table1[[#This Row],[TOTAL MW]])</f>
        <v>28.661000000000001</v>
      </c>
      <c r="P30" s="53">
        <f t="shared" si="0"/>
        <v>53.197000000000003</v>
      </c>
    </row>
    <row r="31" spans="1:16" x14ac:dyDescent="0.25">
      <c r="A31" s="105">
        <f t="shared" si="1"/>
        <v>45583.583333333401</v>
      </c>
      <c r="B31" s="51">
        <f t="shared" si="2"/>
        <v>0.58333333333333326</v>
      </c>
      <c r="C31" s="1">
        <f>'Plantilla Datos'!K37</f>
        <v>9.5</v>
      </c>
      <c r="F31" s="106">
        <f>(Table2[[#This Row],[Fecha]]+2)</f>
        <v>45585.583333333401</v>
      </c>
      <c r="G31" s="52">
        <f>Table2[[#This Row],[Hora]]</f>
        <v>0.58333333333333326</v>
      </c>
      <c r="H31" s="53">
        <f>VLOOKUP(Table1[[#This Row],[Fecha]],TBL_CalcDarwin[],42,1)</f>
        <v>24.536000000000001</v>
      </c>
      <c r="I31" s="53">
        <f>VLOOKUP(Table1[[#This Row],[Fecha]],TBL_CalcDarwin[],43,1)</f>
        <v>28.661000000000001</v>
      </c>
      <c r="J31" s="73">
        <f>VLOOKUP(Table1[[#This Row],[Fecha]],TBL_CalcDarwin[],40,1)</f>
        <v>22</v>
      </c>
      <c r="K31" s="73">
        <f>VLOOKUP(Table1[[#This Row],[Fecha]],TBL_CalcDarwin[],41,1)</f>
        <v>19</v>
      </c>
      <c r="L31" s="53">
        <f>Table1[[#This Row],[MW Proyectada (Barra A)]]+Table1[[#This Row],[MW Proyectada (Barra B)]]</f>
        <v>53.197000000000003</v>
      </c>
      <c r="N31" s="53">
        <f>IF(Table1[[#This Row],[TOTAL MW]]&lt;($P$1-Table18[[#This Row],[TOTAL MW]]),Table1[[#This Row],[MW Proyectada (Barra A)]],Table1[[#This Row],[MW Proyectada (Barra A)]]*($P$1-Table18[[#This Row],[TOTAL MW]])/Table1[[#This Row],[TOTAL MW]])</f>
        <v>24.536000000000001</v>
      </c>
      <c r="O31" s="53">
        <f>IF(Table1[[#This Row],[TOTAL MW]]&lt;($P$1-Table18[[#This Row],[TOTAL MW]]),Table1[[#This Row],[MW Proyectada (Barra B)]],Table1[[#This Row],[MW Proyectada (Barra B)]]*($P$1-Table18[[#This Row],[TOTAL MW]])/Table1[[#This Row],[TOTAL MW]])</f>
        <v>28.661000000000001</v>
      </c>
      <c r="P31" s="53">
        <f t="shared" si="0"/>
        <v>53.197000000000003</v>
      </c>
    </row>
    <row r="32" spans="1:16" x14ac:dyDescent="0.25">
      <c r="A32" s="105">
        <f t="shared" si="1"/>
        <v>45583.604166666737</v>
      </c>
      <c r="B32" s="51">
        <f t="shared" si="2"/>
        <v>0.60416666666666663</v>
      </c>
      <c r="C32" s="1">
        <f>'Plantilla Datos'!K38</f>
        <v>11.6</v>
      </c>
      <c r="F32" s="106">
        <f>(Table2[[#This Row],[Fecha]]+2)</f>
        <v>45585.604166666737</v>
      </c>
      <c r="G32" s="52">
        <f>Table2[[#This Row],[Hora]]</f>
        <v>0.60416666666666663</v>
      </c>
      <c r="H32" s="53">
        <f>VLOOKUP(Table1[[#This Row],[Fecha]],TBL_CalcDarwin[],42,1)</f>
        <v>24.536000000000001</v>
      </c>
      <c r="I32" s="53">
        <f>VLOOKUP(Table1[[#This Row],[Fecha]],TBL_CalcDarwin[],43,1)</f>
        <v>28.661000000000001</v>
      </c>
      <c r="J32" s="73">
        <f>VLOOKUP(Table1[[#This Row],[Fecha]],TBL_CalcDarwin[],40,1)</f>
        <v>22</v>
      </c>
      <c r="K32" s="73">
        <f>VLOOKUP(Table1[[#This Row],[Fecha]],TBL_CalcDarwin[],41,1)</f>
        <v>19</v>
      </c>
      <c r="L32" s="53">
        <f>Table1[[#This Row],[MW Proyectada (Barra A)]]+Table1[[#This Row],[MW Proyectada (Barra B)]]</f>
        <v>53.197000000000003</v>
      </c>
      <c r="N32" s="53">
        <f>IF(Table1[[#This Row],[TOTAL MW]]&lt;($P$1-Table18[[#This Row],[TOTAL MW]]),Table1[[#This Row],[MW Proyectada (Barra A)]],Table1[[#This Row],[MW Proyectada (Barra A)]]*($P$1-Table18[[#This Row],[TOTAL MW]])/Table1[[#This Row],[TOTAL MW]])</f>
        <v>24.536000000000001</v>
      </c>
      <c r="O32" s="53">
        <f>IF(Table1[[#This Row],[TOTAL MW]]&lt;($P$1-Table18[[#This Row],[TOTAL MW]]),Table1[[#This Row],[MW Proyectada (Barra B)]],Table1[[#This Row],[MW Proyectada (Barra B)]]*($P$1-Table18[[#This Row],[TOTAL MW]])/Table1[[#This Row],[TOTAL MW]])</f>
        <v>28.661000000000001</v>
      </c>
      <c r="P32" s="53">
        <f t="shared" si="0"/>
        <v>53.197000000000003</v>
      </c>
    </row>
    <row r="33" spans="1:16" x14ac:dyDescent="0.25">
      <c r="A33" s="105">
        <f t="shared" si="1"/>
        <v>45583.625000000073</v>
      </c>
      <c r="B33" s="51">
        <f t="shared" si="2"/>
        <v>0.625</v>
      </c>
      <c r="C33" s="1">
        <f>'Plantilla Datos'!K39</f>
        <v>9.3000000000000007</v>
      </c>
      <c r="F33" s="106">
        <f>(Table2[[#This Row],[Fecha]]+2)</f>
        <v>45585.625000000073</v>
      </c>
      <c r="G33" s="52">
        <f>Table2[[#This Row],[Hora]]</f>
        <v>0.625</v>
      </c>
      <c r="H33" s="53">
        <f>VLOOKUP(Table1[[#This Row],[Fecha]],TBL_CalcDarwin[],42,1)</f>
        <v>31.134</v>
      </c>
      <c r="I33" s="53">
        <f>VLOOKUP(Table1[[#This Row],[Fecha]],TBL_CalcDarwin[],43,1)</f>
        <v>35.608000000000004</v>
      </c>
      <c r="J33" s="73">
        <f>VLOOKUP(Table1[[#This Row],[Fecha]],TBL_CalcDarwin[],40,1)</f>
        <v>22</v>
      </c>
      <c r="K33" s="73">
        <f>VLOOKUP(Table1[[#This Row],[Fecha]],TBL_CalcDarwin[],41,1)</f>
        <v>19</v>
      </c>
      <c r="L33" s="53">
        <f>Table1[[#This Row],[MW Proyectada (Barra A)]]+Table1[[#This Row],[MW Proyectada (Barra B)]]</f>
        <v>66.742000000000004</v>
      </c>
      <c r="N33" s="53">
        <f>IF(Table1[[#This Row],[TOTAL MW]]&lt;($P$1-Table18[[#This Row],[TOTAL MW]]),Table1[[#This Row],[MW Proyectada (Barra A)]],Table1[[#This Row],[MW Proyectada (Barra A)]]*($P$1-Table18[[#This Row],[TOTAL MW]])/Table1[[#This Row],[TOTAL MW]])</f>
        <v>31.134</v>
      </c>
      <c r="O33" s="53">
        <f>IF(Table1[[#This Row],[TOTAL MW]]&lt;($P$1-Table18[[#This Row],[TOTAL MW]]),Table1[[#This Row],[MW Proyectada (Barra B)]],Table1[[#This Row],[MW Proyectada (Barra B)]]*($P$1-Table18[[#This Row],[TOTAL MW]])/Table1[[#This Row],[TOTAL MW]])</f>
        <v>35.608000000000004</v>
      </c>
      <c r="P33" s="53">
        <f t="shared" si="0"/>
        <v>66.742000000000004</v>
      </c>
    </row>
    <row r="34" spans="1:16" x14ac:dyDescent="0.25">
      <c r="A34" s="105">
        <f t="shared" si="1"/>
        <v>45583.645833333409</v>
      </c>
      <c r="B34" s="51">
        <f t="shared" si="2"/>
        <v>0.64583333333333337</v>
      </c>
      <c r="C34" s="1">
        <f>'Plantilla Datos'!K40</f>
        <v>10.7</v>
      </c>
      <c r="F34" s="106">
        <f>(Table2[[#This Row],[Fecha]]+2)</f>
        <v>45585.645833333409</v>
      </c>
      <c r="G34" s="52">
        <f>Table2[[#This Row],[Hora]]</f>
        <v>0.64583333333333337</v>
      </c>
      <c r="H34" s="53">
        <f>VLOOKUP(Table1[[#This Row],[Fecha]],TBL_CalcDarwin[],42,1)</f>
        <v>31.134</v>
      </c>
      <c r="I34" s="53">
        <f>VLOOKUP(Table1[[#This Row],[Fecha]],TBL_CalcDarwin[],43,1)</f>
        <v>35.608000000000004</v>
      </c>
      <c r="J34" s="73">
        <f>VLOOKUP(Table1[[#This Row],[Fecha]],TBL_CalcDarwin[],40,1)</f>
        <v>22</v>
      </c>
      <c r="K34" s="73">
        <f>VLOOKUP(Table1[[#This Row],[Fecha]],TBL_CalcDarwin[],41,1)</f>
        <v>19</v>
      </c>
      <c r="L34" s="53">
        <f>Table1[[#This Row],[MW Proyectada (Barra A)]]+Table1[[#This Row],[MW Proyectada (Barra B)]]</f>
        <v>66.742000000000004</v>
      </c>
      <c r="N34" s="53">
        <f>IF(Table1[[#This Row],[TOTAL MW]]&lt;($P$1-Table18[[#This Row],[TOTAL MW]]),Table1[[#This Row],[MW Proyectada (Barra A)]],Table1[[#This Row],[MW Proyectada (Barra A)]]*($P$1-Table18[[#This Row],[TOTAL MW]])/Table1[[#This Row],[TOTAL MW]])</f>
        <v>31.134</v>
      </c>
      <c r="O34" s="53">
        <f>IF(Table1[[#This Row],[TOTAL MW]]&lt;($P$1-Table18[[#This Row],[TOTAL MW]]),Table1[[#This Row],[MW Proyectada (Barra B)]],Table1[[#This Row],[MW Proyectada (Barra B)]]*($P$1-Table18[[#This Row],[TOTAL MW]])/Table1[[#This Row],[TOTAL MW]])</f>
        <v>35.608000000000004</v>
      </c>
      <c r="P34" s="53">
        <f t="shared" si="0"/>
        <v>66.742000000000004</v>
      </c>
    </row>
    <row r="35" spans="1:16" x14ac:dyDescent="0.25">
      <c r="A35" s="105">
        <f t="shared" si="1"/>
        <v>45583.666666666744</v>
      </c>
      <c r="B35" s="51">
        <f t="shared" si="2"/>
        <v>0.66666666666666674</v>
      </c>
      <c r="C35" s="1">
        <f>'Plantilla Datos'!K41</f>
        <v>11</v>
      </c>
      <c r="F35" s="106">
        <f>(Table2[[#This Row],[Fecha]]+2)</f>
        <v>45585.666666666744</v>
      </c>
      <c r="G35" s="52">
        <f>Table2[[#This Row],[Hora]]</f>
        <v>0.66666666666666674</v>
      </c>
      <c r="H35" s="53">
        <f>VLOOKUP(Table1[[#This Row],[Fecha]],TBL_CalcDarwin[],42,1)</f>
        <v>38.757999999999996</v>
      </c>
      <c r="I35" s="53">
        <f>VLOOKUP(Table1[[#This Row],[Fecha]],TBL_CalcDarwin[],43,1)</f>
        <v>43.476999999999997</v>
      </c>
      <c r="J35" s="73">
        <f>VLOOKUP(Table1[[#This Row],[Fecha]],TBL_CalcDarwin[],40,1)</f>
        <v>22</v>
      </c>
      <c r="K35" s="73">
        <f>VLOOKUP(Table1[[#This Row],[Fecha]],TBL_CalcDarwin[],41,1)</f>
        <v>19</v>
      </c>
      <c r="L35" s="53">
        <f>Table1[[#This Row],[MW Proyectada (Barra A)]]+Table1[[#This Row],[MW Proyectada (Barra B)]]</f>
        <v>82.234999999999985</v>
      </c>
      <c r="N35" s="53">
        <f>IF(Table1[[#This Row],[TOTAL MW]]&lt;($P$1-Table18[[#This Row],[TOTAL MW]]),Table1[[#This Row],[MW Proyectada (Barra A)]],Table1[[#This Row],[MW Proyectada (Barra A)]]*($P$1-Table18[[#This Row],[TOTAL MW]])/Table1[[#This Row],[TOTAL MW]])</f>
        <v>38.757999999999996</v>
      </c>
      <c r="O35" s="53">
        <f>IF(Table1[[#This Row],[TOTAL MW]]&lt;($P$1-Table18[[#This Row],[TOTAL MW]]),Table1[[#This Row],[MW Proyectada (Barra B)]],Table1[[#This Row],[MW Proyectada (Barra B)]]*($P$1-Table18[[#This Row],[TOTAL MW]])/Table1[[#This Row],[TOTAL MW]])</f>
        <v>43.476999999999997</v>
      </c>
      <c r="P35" s="53">
        <f t="shared" si="0"/>
        <v>82.234999999999985</v>
      </c>
    </row>
    <row r="36" spans="1:16" x14ac:dyDescent="0.25">
      <c r="A36" s="105">
        <f t="shared" si="1"/>
        <v>45583.68750000008</v>
      </c>
      <c r="B36" s="51">
        <f t="shared" si="2"/>
        <v>0.68750000000000011</v>
      </c>
      <c r="C36" s="1">
        <f>'Plantilla Datos'!K42</f>
        <v>11</v>
      </c>
      <c r="F36" s="106">
        <f>(Table2[[#This Row],[Fecha]]+2)</f>
        <v>45585.68750000008</v>
      </c>
      <c r="G36" s="52">
        <f>Table2[[#This Row],[Hora]]</f>
        <v>0.68750000000000011</v>
      </c>
      <c r="H36" s="53">
        <f>VLOOKUP(Table1[[#This Row],[Fecha]],TBL_CalcDarwin[],42,1)</f>
        <v>38.757999999999996</v>
      </c>
      <c r="I36" s="53">
        <f>VLOOKUP(Table1[[#This Row],[Fecha]],TBL_CalcDarwin[],43,1)</f>
        <v>43.476999999999997</v>
      </c>
      <c r="J36" s="73">
        <f>VLOOKUP(Table1[[#This Row],[Fecha]],TBL_CalcDarwin[],40,1)</f>
        <v>22</v>
      </c>
      <c r="K36" s="73">
        <f>VLOOKUP(Table1[[#This Row],[Fecha]],TBL_CalcDarwin[],41,1)</f>
        <v>19</v>
      </c>
      <c r="L36" s="53">
        <f>Table1[[#This Row],[MW Proyectada (Barra A)]]+Table1[[#This Row],[MW Proyectada (Barra B)]]</f>
        <v>82.234999999999985</v>
      </c>
      <c r="N36" s="53">
        <f>IF(Table1[[#This Row],[TOTAL MW]]&lt;($P$1-Table18[[#This Row],[TOTAL MW]]),Table1[[#This Row],[MW Proyectada (Barra A)]],Table1[[#This Row],[MW Proyectada (Barra A)]]*($P$1-Table18[[#This Row],[TOTAL MW]])/Table1[[#This Row],[TOTAL MW]])</f>
        <v>38.757999999999996</v>
      </c>
      <c r="O36" s="53">
        <f>IF(Table1[[#This Row],[TOTAL MW]]&lt;($P$1-Table18[[#This Row],[TOTAL MW]]),Table1[[#This Row],[MW Proyectada (Barra B)]],Table1[[#This Row],[MW Proyectada (Barra B)]]*($P$1-Table18[[#This Row],[TOTAL MW]])/Table1[[#This Row],[TOTAL MW]])</f>
        <v>43.476999999999997</v>
      </c>
      <c r="P36" s="53">
        <f t="shared" si="0"/>
        <v>82.234999999999985</v>
      </c>
    </row>
    <row r="37" spans="1:16" x14ac:dyDescent="0.25">
      <c r="A37" s="105">
        <f t="shared" si="1"/>
        <v>45583.708333333416</v>
      </c>
      <c r="B37" s="51">
        <f t="shared" si="2"/>
        <v>0.70833333333333348</v>
      </c>
      <c r="C37" s="1">
        <f>'Plantilla Datos'!K43</f>
        <v>9.1</v>
      </c>
      <c r="F37" s="106">
        <f>(Table2[[#This Row],[Fecha]]+2)</f>
        <v>45585.708333333416</v>
      </c>
      <c r="G37" s="52">
        <f>Table2[[#This Row],[Hora]]</f>
        <v>0.70833333333333348</v>
      </c>
      <c r="H37" s="53">
        <f>VLOOKUP(Table1[[#This Row],[Fecha]],TBL_CalcDarwin[],42,1)</f>
        <v>38.757999999999996</v>
      </c>
      <c r="I37" s="53">
        <f>VLOOKUP(Table1[[#This Row],[Fecha]],TBL_CalcDarwin[],43,1)</f>
        <v>43.476999999999997</v>
      </c>
      <c r="J37" s="73">
        <f>VLOOKUP(Table1[[#This Row],[Fecha]],TBL_CalcDarwin[],40,1)</f>
        <v>22</v>
      </c>
      <c r="K37" s="73">
        <f>VLOOKUP(Table1[[#This Row],[Fecha]],TBL_CalcDarwin[],41,1)</f>
        <v>19</v>
      </c>
      <c r="L37" s="53">
        <f>Table1[[#This Row],[MW Proyectada (Barra A)]]+Table1[[#This Row],[MW Proyectada (Barra B)]]</f>
        <v>82.234999999999985</v>
      </c>
      <c r="N37" s="53">
        <f>IF(Table1[[#This Row],[TOTAL MW]]&lt;($P$1-Table18[[#This Row],[TOTAL MW]]),Table1[[#This Row],[MW Proyectada (Barra A)]],Table1[[#This Row],[MW Proyectada (Barra A)]]*($P$1-Table18[[#This Row],[TOTAL MW]])/Table1[[#This Row],[TOTAL MW]])</f>
        <v>38.757999999999996</v>
      </c>
      <c r="O37" s="53">
        <f>IF(Table1[[#This Row],[TOTAL MW]]&lt;($P$1-Table18[[#This Row],[TOTAL MW]]),Table1[[#This Row],[MW Proyectada (Barra B)]],Table1[[#This Row],[MW Proyectada (Barra B)]]*($P$1-Table18[[#This Row],[TOTAL MW]])/Table1[[#This Row],[TOTAL MW]])</f>
        <v>43.476999999999997</v>
      </c>
      <c r="P37" s="53">
        <f t="shared" si="0"/>
        <v>82.234999999999985</v>
      </c>
    </row>
    <row r="38" spans="1:16" x14ac:dyDescent="0.25">
      <c r="A38" s="105">
        <f t="shared" si="1"/>
        <v>45583.729166666752</v>
      </c>
      <c r="B38" s="51">
        <f t="shared" si="2"/>
        <v>0.72916666666666685</v>
      </c>
      <c r="C38" s="1">
        <f>'Plantilla Datos'!K44</f>
        <v>8.6</v>
      </c>
      <c r="F38" s="106">
        <f>(Table2[[#This Row],[Fecha]]+2)</f>
        <v>45585.729166666752</v>
      </c>
      <c r="G38" s="52">
        <f>Table2[[#This Row],[Hora]]</f>
        <v>0.72916666666666685</v>
      </c>
      <c r="H38" s="53">
        <f>VLOOKUP(Table1[[#This Row],[Fecha]],TBL_CalcDarwin[],42,1)</f>
        <v>38.757999999999996</v>
      </c>
      <c r="I38" s="53">
        <f>VLOOKUP(Table1[[#This Row],[Fecha]],TBL_CalcDarwin[],43,1)</f>
        <v>43.476999999999997</v>
      </c>
      <c r="J38" s="73">
        <f>VLOOKUP(Table1[[#This Row],[Fecha]],TBL_CalcDarwin[],40,1)</f>
        <v>22</v>
      </c>
      <c r="K38" s="73">
        <f>VLOOKUP(Table1[[#This Row],[Fecha]],TBL_CalcDarwin[],41,1)</f>
        <v>19</v>
      </c>
      <c r="L38" s="53">
        <f>Table1[[#This Row],[MW Proyectada (Barra A)]]+Table1[[#This Row],[MW Proyectada (Barra B)]]</f>
        <v>82.234999999999985</v>
      </c>
      <c r="N38" s="53">
        <f>IF(Table1[[#This Row],[TOTAL MW]]&lt;($P$1-Table18[[#This Row],[TOTAL MW]]),Table1[[#This Row],[MW Proyectada (Barra A)]],Table1[[#This Row],[MW Proyectada (Barra A)]]*($P$1-Table18[[#This Row],[TOTAL MW]])/Table1[[#This Row],[TOTAL MW]])</f>
        <v>38.757999999999996</v>
      </c>
      <c r="O38" s="53">
        <f>IF(Table1[[#This Row],[TOTAL MW]]&lt;($P$1-Table18[[#This Row],[TOTAL MW]]),Table1[[#This Row],[MW Proyectada (Barra B)]],Table1[[#This Row],[MW Proyectada (Barra B)]]*($P$1-Table18[[#This Row],[TOTAL MW]])/Table1[[#This Row],[TOTAL MW]])</f>
        <v>43.476999999999997</v>
      </c>
      <c r="P38" s="53">
        <f t="shared" si="0"/>
        <v>82.234999999999985</v>
      </c>
    </row>
    <row r="39" spans="1:16" x14ac:dyDescent="0.25">
      <c r="A39" s="105">
        <f t="shared" si="1"/>
        <v>45583.750000000087</v>
      </c>
      <c r="B39" s="51">
        <f t="shared" si="2"/>
        <v>0.75000000000000022</v>
      </c>
      <c r="C39" s="1">
        <f>'Plantilla Datos'!K45</f>
        <v>6.8</v>
      </c>
      <c r="F39" s="106">
        <f>(Table2[[#This Row],[Fecha]]+2)</f>
        <v>45585.750000000087</v>
      </c>
      <c r="G39" s="52">
        <f>Table2[[#This Row],[Hora]]</f>
        <v>0.75000000000000022</v>
      </c>
      <c r="H39" s="53">
        <f>VLOOKUP(Table1[[#This Row],[Fecha]],TBL_CalcDarwin[],42,1)</f>
        <v>38.757999999999996</v>
      </c>
      <c r="I39" s="53">
        <f>VLOOKUP(Table1[[#This Row],[Fecha]],TBL_CalcDarwin[],43,1)</f>
        <v>43.476999999999997</v>
      </c>
      <c r="J39" s="73">
        <f>VLOOKUP(Table1[[#This Row],[Fecha]],TBL_CalcDarwin[],40,1)</f>
        <v>22</v>
      </c>
      <c r="K39" s="73">
        <f>VLOOKUP(Table1[[#This Row],[Fecha]],TBL_CalcDarwin[],41,1)</f>
        <v>19</v>
      </c>
      <c r="L39" s="53">
        <f>Table1[[#This Row],[MW Proyectada (Barra A)]]+Table1[[#This Row],[MW Proyectada (Barra B)]]</f>
        <v>82.234999999999985</v>
      </c>
      <c r="N39" s="53">
        <f>IF(Table1[[#This Row],[TOTAL MW]]&lt;($P$1-Table18[[#This Row],[TOTAL MW]]),Table1[[#This Row],[MW Proyectada (Barra A)]],Table1[[#This Row],[MW Proyectada (Barra A)]]*($P$1-Table18[[#This Row],[TOTAL MW]])/Table1[[#This Row],[TOTAL MW]])</f>
        <v>38.757999999999996</v>
      </c>
      <c r="O39" s="53">
        <f>IF(Table1[[#This Row],[TOTAL MW]]&lt;($P$1-Table18[[#This Row],[TOTAL MW]]),Table1[[#This Row],[MW Proyectada (Barra B)]],Table1[[#This Row],[MW Proyectada (Barra B)]]*($P$1-Table18[[#This Row],[TOTAL MW]])/Table1[[#This Row],[TOTAL MW]])</f>
        <v>43.476999999999997</v>
      </c>
      <c r="P39" s="53">
        <f t="shared" si="0"/>
        <v>82.234999999999985</v>
      </c>
    </row>
    <row r="40" spans="1:16" x14ac:dyDescent="0.25">
      <c r="A40" s="105">
        <f t="shared" si="1"/>
        <v>45583.770833333423</v>
      </c>
      <c r="B40" s="51">
        <f t="shared" si="2"/>
        <v>0.77083333333333359</v>
      </c>
      <c r="C40" s="1">
        <f>'Plantilla Datos'!K46</f>
        <v>7.8</v>
      </c>
      <c r="F40" s="106">
        <f>(Table2[[#This Row],[Fecha]]+2)</f>
        <v>45585.770833333423</v>
      </c>
      <c r="G40" s="52">
        <f>Table2[[#This Row],[Hora]]</f>
        <v>0.77083333333333359</v>
      </c>
      <c r="H40" s="53">
        <f>VLOOKUP(Table1[[#This Row],[Fecha]],TBL_CalcDarwin[],42,1)</f>
        <v>38.757999999999996</v>
      </c>
      <c r="I40" s="53">
        <f>VLOOKUP(Table1[[#This Row],[Fecha]],TBL_CalcDarwin[],43,1)</f>
        <v>43.476999999999997</v>
      </c>
      <c r="J40" s="73">
        <f>VLOOKUP(Table1[[#This Row],[Fecha]],TBL_CalcDarwin[],40,1)</f>
        <v>22</v>
      </c>
      <c r="K40" s="73">
        <f>VLOOKUP(Table1[[#This Row],[Fecha]],TBL_CalcDarwin[],41,1)</f>
        <v>19</v>
      </c>
      <c r="L40" s="53">
        <f>Table1[[#This Row],[MW Proyectada (Barra A)]]+Table1[[#This Row],[MW Proyectada (Barra B)]]</f>
        <v>82.234999999999985</v>
      </c>
      <c r="N40" s="53">
        <f>IF(Table1[[#This Row],[TOTAL MW]]&lt;($P$1-Table18[[#This Row],[TOTAL MW]]),Table1[[#This Row],[MW Proyectada (Barra A)]],Table1[[#This Row],[MW Proyectada (Barra A)]]*($P$1-Table18[[#This Row],[TOTAL MW]])/Table1[[#This Row],[TOTAL MW]])</f>
        <v>38.757999999999996</v>
      </c>
      <c r="O40" s="53">
        <f>IF(Table1[[#This Row],[TOTAL MW]]&lt;($P$1-Table18[[#This Row],[TOTAL MW]]),Table1[[#This Row],[MW Proyectada (Barra B)]],Table1[[#This Row],[MW Proyectada (Barra B)]]*($P$1-Table18[[#This Row],[TOTAL MW]])/Table1[[#This Row],[TOTAL MW]])</f>
        <v>43.476999999999997</v>
      </c>
      <c r="P40" s="53">
        <f t="shared" si="0"/>
        <v>82.234999999999985</v>
      </c>
    </row>
    <row r="41" spans="1:16" x14ac:dyDescent="0.25">
      <c r="A41" s="105">
        <f t="shared" si="1"/>
        <v>45583.791666666759</v>
      </c>
      <c r="B41" s="51">
        <f t="shared" si="2"/>
        <v>0.79166666666666696</v>
      </c>
      <c r="C41" s="1">
        <f>'Plantilla Datos'!K47</f>
        <v>6.8</v>
      </c>
      <c r="F41" s="106">
        <f>(Table2[[#This Row],[Fecha]]+2)</f>
        <v>45585.791666666759</v>
      </c>
      <c r="G41" s="52">
        <f>Table2[[#This Row],[Hora]]</f>
        <v>0.79166666666666696</v>
      </c>
      <c r="H41" s="53">
        <f>VLOOKUP(Table1[[#This Row],[Fecha]],TBL_CalcDarwin[],42,1)</f>
        <v>38.757999999999996</v>
      </c>
      <c r="I41" s="53">
        <f>VLOOKUP(Table1[[#This Row],[Fecha]],TBL_CalcDarwin[],43,1)</f>
        <v>43.476999999999997</v>
      </c>
      <c r="J41" s="73">
        <f>VLOOKUP(Table1[[#This Row],[Fecha]],TBL_CalcDarwin[],40,1)</f>
        <v>22</v>
      </c>
      <c r="K41" s="73">
        <f>VLOOKUP(Table1[[#This Row],[Fecha]],TBL_CalcDarwin[],41,1)</f>
        <v>19</v>
      </c>
      <c r="L41" s="53">
        <f>Table1[[#This Row],[MW Proyectada (Barra A)]]+Table1[[#This Row],[MW Proyectada (Barra B)]]</f>
        <v>82.234999999999985</v>
      </c>
      <c r="N41" s="53">
        <f>IF(Table1[[#This Row],[TOTAL MW]]&lt;($P$1-Table18[[#This Row],[TOTAL MW]]),Table1[[#This Row],[MW Proyectada (Barra A)]],Table1[[#This Row],[MW Proyectada (Barra A)]]*($P$1-Table18[[#This Row],[TOTAL MW]])/Table1[[#This Row],[TOTAL MW]])</f>
        <v>38.757999999999996</v>
      </c>
      <c r="O41" s="53">
        <f>IF(Table1[[#This Row],[TOTAL MW]]&lt;($P$1-Table18[[#This Row],[TOTAL MW]]),Table1[[#This Row],[MW Proyectada (Barra B)]],Table1[[#This Row],[MW Proyectada (Barra B)]]*($P$1-Table18[[#This Row],[TOTAL MW]])/Table1[[#This Row],[TOTAL MW]])</f>
        <v>43.476999999999997</v>
      </c>
      <c r="P41" s="53">
        <f t="shared" si="0"/>
        <v>82.234999999999985</v>
      </c>
    </row>
    <row r="42" spans="1:16" x14ac:dyDescent="0.25">
      <c r="A42" s="105">
        <f t="shared" si="1"/>
        <v>45583.812500000095</v>
      </c>
      <c r="B42" s="51">
        <f t="shared" si="2"/>
        <v>0.81250000000000033</v>
      </c>
      <c r="C42" s="1">
        <f>'Plantilla Datos'!K48</f>
        <v>6.8</v>
      </c>
      <c r="F42" s="106">
        <f>(Table2[[#This Row],[Fecha]]+2)</f>
        <v>45585.812500000095</v>
      </c>
      <c r="G42" s="52">
        <f>Table2[[#This Row],[Hora]]</f>
        <v>0.81250000000000033</v>
      </c>
      <c r="H42" s="53">
        <f>VLOOKUP(Table1[[#This Row],[Fecha]],TBL_CalcDarwin[],42,1)</f>
        <v>38.757999999999996</v>
      </c>
      <c r="I42" s="53">
        <f>VLOOKUP(Table1[[#This Row],[Fecha]],TBL_CalcDarwin[],43,1)</f>
        <v>43.476999999999997</v>
      </c>
      <c r="J42" s="73">
        <f>VLOOKUP(Table1[[#This Row],[Fecha]],TBL_CalcDarwin[],40,1)</f>
        <v>22</v>
      </c>
      <c r="K42" s="73">
        <f>VLOOKUP(Table1[[#This Row],[Fecha]],TBL_CalcDarwin[],41,1)</f>
        <v>19</v>
      </c>
      <c r="L42" s="53">
        <f>Table1[[#This Row],[MW Proyectada (Barra A)]]+Table1[[#This Row],[MW Proyectada (Barra B)]]</f>
        <v>82.234999999999985</v>
      </c>
      <c r="N42" s="53">
        <f>IF(Table1[[#This Row],[TOTAL MW]]&lt;($P$1-Table18[[#This Row],[TOTAL MW]]),Table1[[#This Row],[MW Proyectada (Barra A)]],Table1[[#This Row],[MW Proyectada (Barra A)]]*($P$1-Table18[[#This Row],[TOTAL MW]])/Table1[[#This Row],[TOTAL MW]])</f>
        <v>38.757999999999996</v>
      </c>
      <c r="O42" s="53">
        <f>IF(Table1[[#This Row],[TOTAL MW]]&lt;($P$1-Table18[[#This Row],[TOTAL MW]]),Table1[[#This Row],[MW Proyectada (Barra B)]],Table1[[#This Row],[MW Proyectada (Barra B)]]*($P$1-Table18[[#This Row],[TOTAL MW]])/Table1[[#This Row],[TOTAL MW]])</f>
        <v>43.476999999999997</v>
      </c>
      <c r="P42" s="53">
        <f t="shared" si="0"/>
        <v>82.234999999999985</v>
      </c>
    </row>
    <row r="43" spans="1:16" x14ac:dyDescent="0.25">
      <c r="A43" s="105">
        <f t="shared" si="1"/>
        <v>45583.83333333343</v>
      </c>
      <c r="B43" s="51">
        <f t="shared" si="2"/>
        <v>0.8333333333333337</v>
      </c>
      <c r="C43" s="1">
        <f>'Plantilla Datos'!K49</f>
        <v>8.6999999999999993</v>
      </c>
      <c r="F43" s="106">
        <f>(Table2[[#This Row],[Fecha]]+2)</f>
        <v>45585.83333333343</v>
      </c>
      <c r="G43" s="52">
        <f>Table2[[#This Row],[Hora]]</f>
        <v>0.8333333333333337</v>
      </c>
      <c r="H43" s="53">
        <f>VLOOKUP(Table1[[#This Row],[Fecha]],TBL_CalcDarwin[],42,1)</f>
        <v>42.978999999999999</v>
      </c>
      <c r="I43" s="53">
        <f>VLOOKUP(Table1[[#This Row],[Fecha]],TBL_CalcDarwin[],43,1)</f>
        <v>51.410000000000004</v>
      </c>
      <c r="J43" s="73">
        <f>VLOOKUP(Table1[[#This Row],[Fecha]],TBL_CalcDarwin[],40,1)</f>
        <v>22</v>
      </c>
      <c r="K43" s="73">
        <f>VLOOKUP(Table1[[#This Row],[Fecha]],TBL_CalcDarwin[],41,1)</f>
        <v>19</v>
      </c>
      <c r="L43" s="53">
        <f>Table1[[#This Row],[MW Proyectada (Barra A)]]+Table1[[#This Row],[MW Proyectada (Barra B)]]</f>
        <v>94.38900000000001</v>
      </c>
      <c r="N43" s="53">
        <f>IF(Table1[[#This Row],[TOTAL MW]]&lt;($P$1-Table18[[#This Row],[TOTAL MW]]),Table1[[#This Row],[MW Proyectada (Barra A)]],Table1[[#This Row],[MW Proyectada (Barra A)]]*($P$1-Table18[[#This Row],[TOTAL MW]])/Table1[[#This Row],[TOTAL MW]])</f>
        <v>42.978999999999999</v>
      </c>
      <c r="O43" s="53">
        <f>IF(Table1[[#This Row],[TOTAL MW]]&lt;($P$1-Table18[[#This Row],[TOTAL MW]]),Table1[[#This Row],[MW Proyectada (Barra B)]],Table1[[#This Row],[MW Proyectada (Barra B)]]*($P$1-Table18[[#This Row],[TOTAL MW]])/Table1[[#This Row],[TOTAL MW]])</f>
        <v>51.410000000000004</v>
      </c>
      <c r="P43" s="53">
        <f t="shared" si="0"/>
        <v>94.38900000000001</v>
      </c>
    </row>
    <row r="44" spans="1:16" x14ac:dyDescent="0.25">
      <c r="A44" s="105">
        <f t="shared" si="1"/>
        <v>45583.854166666766</v>
      </c>
      <c r="B44" s="51">
        <f t="shared" si="2"/>
        <v>0.85416666666666707</v>
      </c>
      <c r="C44" s="1">
        <f>'Plantilla Datos'!K50</f>
        <v>6.2</v>
      </c>
      <c r="F44" s="106">
        <f>(Table2[[#This Row],[Fecha]]+2)</f>
        <v>45585.854166666766</v>
      </c>
      <c r="G44" s="52">
        <f>Table2[[#This Row],[Hora]]</f>
        <v>0.85416666666666707</v>
      </c>
      <c r="H44" s="53">
        <f>VLOOKUP(Table1[[#This Row],[Fecha]],TBL_CalcDarwin[],42,1)</f>
        <v>42.978999999999999</v>
      </c>
      <c r="I44" s="53">
        <f>VLOOKUP(Table1[[#This Row],[Fecha]],TBL_CalcDarwin[],43,1)</f>
        <v>51.410000000000004</v>
      </c>
      <c r="J44" s="73">
        <f>VLOOKUP(Table1[[#This Row],[Fecha]],TBL_CalcDarwin[],40,1)</f>
        <v>22</v>
      </c>
      <c r="K44" s="73">
        <f>VLOOKUP(Table1[[#This Row],[Fecha]],TBL_CalcDarwin[],41,1)</f>
        <v>19</v>
      </c>
      <c r="L44" s="53">
        <f>Table1[[#This Row],[MW Proyectada (Barra A)]]+Table1[[#This Row],[MW Proyectada (Barra B)]]</f>
        <v>94.38900000000001</v>
      </c>
      <c r="N44" s="53">
        <f>IF(Table1[[#This Row],[TOTAL MW]]&lt;($P$1-Table18[[#This Row],[TOTAL MW]]),Table1[[#This Row],[MW Proyectada (Barra A)]],Table1[[#This Row],[MW Proyectada (Barra A)]]*($P$1-Table18[[#This Row],[TOTAL MW]])/Table1[[#This Row],[TOTAL MW]])</f>
        <v>42.978999999999999</v>
      </c>
      <c r="O44" s="53">
        <f>IF(Table1[[#This Row],[TOTAL MW]]&lt;($P$1-Table18[[#This Row],[TOTAL MW]]),Table1[[#This Row],[MW Proyectada (Barra B)]],Table1[[#This Row],[MW Proyectada (Barra B)]]*($P$1-Table18[[#This Row],[TOTAL MW]])/Table1[[#This Row],[TOTAL MW]])</f>
        <v>51.410000000000004</v>
      </c>
      <c r="P44" s="53">
        <f t="shared" si="0"/>
        <v>94.38900000000001</v>
      </c>
    </row>
    <row r="45" spans="1:16" x14ac:dyDescent="0.25">
      <c r="A45" s="105">
        <f t="shared" si="1"/>
        <v>45583.875000000102</v>
      </c>
      <c r="B45" s="51">
        <f t="shared" si="2"/>
        <v>0.87500000000000044</v>
      </c>
      <c r="C45" s="1">
        <f>'Plantilla Datos'!K51</f>
        <v>9.6</v>
      </c>
      <c r="F45" s="106">
        <f>(Table2[[#This Row],[Fecha]]+2)</f>
        <v>45585.875000000102</v>
      </c>
      <c r="G45" s="52">
        <f>Table2[[#This Row],[Hora]]</f>
        <v>0.87500000000000044</v>
      </c>
      <c r="H45" s="53">
        <f>VLOOKUP(Table1[[#This Row],[Fecha]],TBL_CalcDarwin[],42,1)</f>
        <v>42.978999999999999</v>
      </c>
      <c r="I45" s="53">
        <f>VLOOKUP(Table1[[#This Row],[Fecha]],TBL_CalcDarwin[],43,1)</f>
        <v>51.410000000000004</v>
      </c>
      <c r="J45" s="73">
        <f>VLOOKUP(Table1[[#This Row],[Fecha]],TBL_CalcDarwin[],40,1)</f>
        <v>22</v>
      </c>
      <c r="K45" s="73">
        <f>VLOOKUP(Table1[[#This Row],[Fecha]],TBL_CalcDarwin[],41,1)</f>
        <v>19</v>
      </c>
      <c r="L45" s="53">
        <f>Table1[[#This Row],[MW Proyectada (Barra A)]]+Table1[[#This Row],[MW Proyectada (Barra B)]]</f>
        <v>94.38900000000001</v>
      </c>
      <c r="N45" s="53">
        <f>IF(Table1[[#This Row],[TOTAL MW]]&lt;($P$1-Table18[[#This Row],[TOTAL MW]]),Table1[[#This Row],[MW Proyectada (Barra A)]],Table1[[#This Row],[MW Proyectada (Barra A)]]*($P$1-Table18[[#This Row],[TOTAL MW]])/Table1[[#This Row],[TOTAL MW]])</f>
        <v>42.978999999999999</v>
      </c>
      <c r="O45" s="53">
        <f>IF(Table1[[#This Row],[TOTAL MW]]&lt;($P$1-Table18[[#This Row],[TOTAL MW]]),Table1[[#This Row],[MW Proyectada (Barra B)]],Table1[[#This Row],[MW Proyectada (Barra B)]]*($P$1-Table18[[#This Row],[TOTAL MW]])/Table1[[#This Row],[TOTAL MW]])</f>
        <v>51.410000000000004</v>
      </c>
      <c r="P45" s="53">
        <f t="shared" si="0"/>
        <v>94.38900000000001</v>
      </c>
    </row>
    <row r="46" spans="1:16" x14ac:dyDescent="0.25">
      <c r="A46" s="105">
        <f t="shared" si="1"/>
        <v>45583.895833333438</v>
      </c>
      <c r="B46" s="51">
        <f t="shared" si="2"/>
        <v>0.89583333333333381</v>
      </c>
      <c r="C46" s="1">
        <f>'Plantilla Datos'!K52</f>
        <v>7.8</v>
      </c>
      <c r="F46" s="106">
        <f>(Table2[[#This Row],[Fecha]]+2)</f>
        <v>45585.895833333438</v>
      </c>
      <c r="G46" s="52">
        <f>Table2[[#This Row],[Hora]]</f>
        <v>0.89583333333333381</v>
      </c>
      <c r="H46" s="53">
        <f>VLOOKUP(Table1[[#This Row],[Fecha]],TBL_CalcDarwin[],42,1)</f>
        <v>42.978999999999999</v>
      </c>
      <c r="I46" s="53">
        <f>VLOOKUP(Table1[[#This Row],[Fecha]],TBL_CalcDarwin[],43,1)</f>
        <v>51.410000000000004</v>
      </c>
      <c r="J46" s="73">
        <f>VLOOKUP(Table1[[#This Row],[Fecha]],TBL_CalcDarwin[],40,1)</f>
        <v>22</v>
      </c>
      <c r="K46" s="73">
        <f>VLOOKUP(Table1[[#This Row],[Fecha]],TBL_CalcDarwin[],41,1)</f>
        <v>19</v>
      </c>
      <c r="L46" s="53">
        <f>Table1[[#This Row],[MW Proyectada (Barra A)]]+Table1[[#This Row],[MW Proyectada (Barra B)]]</f>
        <v>94.38900000000001</v>
      </c>
      <c r="N46" s="53">
        <f>IF(Table1[[#This Row],[TOTAL MW]]&lt;($P$1-Table18[[#This Row],[TOTAL MW]]),Table1[[#This Row],[MW Proyectada (Barra A)]],Table1[[#This Row],[MW Proyectada (Barra A)]]*($P$1-Table18[[#This Row],[TOTAL MW]])/Table1[[#This Row],[TOTAL MW]])</f>
        <v>42.978999999999999</v>
      </c>
      <c r="O46" s="53">
        <f>IF(Table1[[#This Row],[TOTAL MW]]&lt;($P$1-Table18[[#This Row],[TOTAL MW]]),Table1[[#This Row],[MW Proyectada (Barra B)]],Table1[[#This Row],[MW Proyectada (Barra B)]]*($P$1-Table18[[#This Row],[TOTAL MW]])/Table1[[#This Row],[TOTAL MW]])</f>
        <v>51.410000000000004</v>
      </c>
      <c r="P46" s="53">
        <f t="shared" si="0"/>
        <v>94.38900000000001</v>
      </c>
    </row>
    <row r="47" spans="1:16" x14ac:dyDescent="0.25">
      <c r="A47" s="105">
        <f t="shared" si="1"/>
        <v>45583.916666666773</v>
      </c>
      <c r="B47" s="51">
        <f t="shared" si="2"/>
        <v>0.91666666666666718</v>
      </c>
      <c r="C47" s="1">
        <f>'Plantilla Datos'!K53</f>
        <v>8.6999999999999993</v>
      </c>
      <c r="F47" s="106">
        <f>(Table2[[#This Row],[Fecha]]+2)</f>
        <v>45585.916666666773</v>
      </c>
      <c r="G47" s="52">
        <f>Table2[[#This Row],[Hora]]</f>
        <v>0.91666666666666718</v>
      </c>
      <c r="H47" s="53">
        <f>VLOOKUP(Table1[[#This Row],[Fecha]],TBL_CalcDarwin[],42,1)</f>
        <v>42.978999999999999</v>
      </c>
      <c r="I47" s="53">
        <f>VLOOKUP(Table1[[#This Row],[Fecha]],TBL_CalcDarwin[],43,1)</f>
        <v>51.410000000000004</v>
      </c>
      <c r="J47" s="73">
        <f>VLOOKUP(Table1[[#This Row],[Fecha]],TBL_CalcDarwin[],40,1)</f>
        <v>22</v>
      </c>
      <c r="K47" s="73">
        <f>VLOOKUP(Table1[[#This Row],[Fecha]],TBL_CalcDarwin[],41,1)</f>
        <v>19</v>
      </c>
      <c r="L47" s="53">
        <f>Table1[[#This Row],[MW Proyectada (Barra A)]]+Table1[[#This Row],[MW Proyectada (Barra B)]]</f>
        <v>94.38900000000001</v>
      </c>
      <c r="N47" s="53">
        <f>IF(Table1[[#This Row],[TOTAL MW]]&lt;($P$1-Table18[[#This Row],[TOTAL MW]]),Table1[[#This Row],[MW Proyectada (Barra A)]],Table1[[#This Row],[MW Proyectada (Barra A)]]*($P$1-Table18[[#This Row],[TOTAL MW]])/Table1[[#This Row],[TOTAL MW]])</f>
        <v>42.978999999999999</v>
      </c>
      <c r="O47" s="53">
        <f>IF(Table1[[#This Row],[TOTAL MW]]&lt;($P$1-Table18[[#This Row],[TOTAL MW]]),Table1[[#This Row],[MW Proyectada (Barra B)]],Table1[[#This Row],[MW Proyectada (Barra B)]]*($P$1-Table18[[#This Row],[TOTAL MW]])/Table1[[#This Row],[TOTAL MW]])</f>
        <v>51.410000000000004</v>
      </c>
      <c r="P47" s="53">
        <f t="shared" si="0"/>
        <v>94.38900000000001</v>
      </c>
    </row>
    <row r="48" spans="1:16" x14ac:dyDescent="0.25">
      <c r="A48" s="105">
        <f t="shared" si="1"/>
        <v>45583.937500000109</v>
      </c>
      <c r="B48" s="51">
        <f t="shared" si="2"/>
        <v>0.93750000000000056</v>
      </c>
      <c r="C48" s="1">
        <f>'Plantilla Datos'!K54</f>
        <v>6.5</v>
      </c>
      <c r="F48" s="106">
        <f>(Table2[[#This Row],[Fecha]]+2)</f>
        <v>45585.937500000109</v>
      </c>
      <c r="G48" s="52">
        <f>Table2[[#This Row],[Hora]]</f>
        <v>0.93750000000000056</v>
      </c>
      <c r="H48" s="53">
        <f>VLOOKUP(Table1[[#This Row],[Fecha]],TBL_CalcDarwin[],42,1)</f>
        <v>42.978999999999999</v>
      </c>
      <c r="I48" s="53">
        <f>VLOOKUP(Table1[[#This Row],[Fecha]],TBL_CalcDarwin[],43,1)</f>
        <v>51.410000000000004</v>
      </c>
      <c r="J48" s="73">
        <f>VLOOKUP(Table1[[#This Row],[Fecha]],TBL_CalcDarwin[],40,1)</f>
        <v>22</v>
      </c>
      <c r="K48" s="73">
        <f>VLOOKUP(Table1[[#This Row],[Fecha]],TBL_CalcDarwin[],41,1)</f>
        <v>19</v>
      </c>
      <c r="L48" s="53">
        <f>Table1[[#This Row],[MW Proyectada (Barra A)]]+Table1[[#This Row],[MW Proyectada (Barra B)]]</f>
        <v>94.38900000000001</v>
      </c>
      <c r="N48" s="53">
        <f>IF(Table1[[#This Row],[TOTAL MW]]&lt;($P$1-Table18[[#This Row],[TOTAL MW]]),Table1[[#This Row],[MW Proyectada (Barra A)]],Table1[[#This Row],[MW Proyectada (Barra A)]]*($P$1-Table18[[#This Row],[TOTAL MW]])/Table1[[#This Row],[TOTAL MW]])</f>
        <v>42.978999999999999</v>
      </c>
      <c r="O48" s="53">
        <f>IF(Table1[[#This Row],[TOTAL MW]]&lt;($P$1-Table18[[#This Row],[TOTAL MW]]),Table1[[#This Row],[MW Proyectada (Barra B)]],Table1[[#This Row],[MW Proyectada (Barra B)]]*($P$1-Table18[[#This Row],[TOTAL MW]])/Table1[[#This Row],[TOTAL MW]])</f>
        <v>51.410000000000004</v>
      </c>
      <c r="P48" s="53">
        <f t="shared" si="0"/>
        <v>94.38900000000001</v>
      </c>
    </row>
    <row r="49" spans="1:16" x14ac:dyDescent="0.25">
      <c r="A49" s="105">
        <f t="shared" si="1"/>
        <v>45583.958333333445</v>
      </c>
      <c r="B49" s="51">
        <f t="shared" si="2"/>
        <v>0.95833333333333393</v>
      </c>
      <c r="C49" s="1">
        <f>'Plantilla Datos'!K55</f>
        <v>8.4</v>
      </c>
      <c r="F49" s="106">
        <f>(Table2[[#This Row],[Fecha]]+2)</f>
        <v>45585.958333333445</v>
      </c>
      <c r="G49" s="52">
        <f>Table2[[#This Row],[Hora]]</f>
        <v>0.95833333333333393</v>
      </c>
      <c r="H49" s="53">
        <f>VLOOKUP(Table1[[#This Row],[Fecha]],TBL_CalcDarwin[],42,1)</f>
        <v>38.757999999999996</v>
      </c>
      <c r="I49" s="53">
        <f>VLOOKUP(Table1[[#This Row],[Fecha]],TBL_CalcDarwin[],43,1)</f>
        <v>43.476999999999997</v>
      </c>
      <c r="J49" s="73">
        <f>VLOOKUP(Table1[[#This Row],[Fecha]],TBL_CalcDarwin[],40,1)</f>
        <v>22</v>
      </c>
      <c r="K49" s="73">
        <f>VLOOKUP(Table1[[#This Row],[Fecha]],TBL_CalcDarwin[],41,1)</f>
        <v>19</v>
      </c>
      <c r="L49" s="53">
        <f>Table1[[#This Row],[MW Proyectada (Barra A)]]+Table1[[#This Row],[MW Proyectada (Barra B)]]</f>
        <v>82.234999999999985</v>
      </c>
      <c r="N49" s="53">
        <f>IF(Table1[[#This Row],[TOTAL MW]]&lt;($P$1-Table18[[#This Row],[TOTAL MW]]),Table1[[#This Row],[MW Proyectada (Barra A)]],Table1[[#This Row],[MW Proyectada (Barra A)]]*($P$1-Table18[[#This Row],[TOTAL MW]])/Table1[[#This Row],[TOTAL MW]])</f>
        <v>38.757999999999996</v>
      </c>
      <c r="O49" s="53">
        <f>IF(Table1[[#This Row],[TOTAL MW]]&lt;($P$1-Table18[[#This Row],[TOTAL MW]]),Table1[[#This Row],[MW Proyectada (Barra B)]],Table1[[#This Row],[MW Proyectada (Barra B)]]*($P$1-Table18[[#This Row],[TOTAL MW]])/Table1[[#This Row],[TOTAL MW]])</f>
        <v>43.476999999999997</v>
      </c>
      <c r="P49" s="53">
        <f t="shared" si="0"/>
        <v>82.234999999999985</v>
      </c>
    </row>
    <row r="50" spans="1:16" x14ac:dyDescent="0.25">
      <c r="A50" s="105">
        <f t="shared" si="1"/>
        <v>45583.979166666781</v>
      </c>
      <c r="B50" s="51">
        <f t="shared" si="2"/>
        <v>0.9791666666666673</v>
      </c>
      <c r="C50" s="1">
        <f>'Plantilla Datos'!K56</f>
        <v>7.5</v>
      </c>
      <c r="F50" s="106">
        <f>(Table2[[#This Row],[Fecha]]+2)</f>
        <v>45585.979166666781</v>
      </c>
      <c r="G50" s="52">
        <f>Table2[[#This Row],[Hora]]</f>
        <v>0.9791666666666673</v>
      </c>
      <c r="H50" s="53">
        <f>VLOOKUP(Table1[[#This Row],[Fecha]],TBL_CalcDarwin[],42,1)</f>
        <v>38.757999999999996</v>
      </c>
      <c r="I50" s="53">
        <f>VLOOKUP(Table1[[#This Row],[Fecha]],TBL_CalcDarwin[],43,1)</f>
        <v>43.476999999999997</v>
      </c>
      <c r="J50" s="73">
        <f>VLOOKUP(Table1[[#This Row],[Fecha]],TBL_CalcDarwin[],40,1)</f>
        <v>22</v>
      </c>
      <c r="K50" s="73">
        <f>VLOOKUP(Table1[[#This Row],[Fecha]],TBL_CalcDarwin[],41,1)</f>
        <v>19</v>
      </c>
      <c r="L50" s="53">
        <f>Table1[[#This Row],[MW Proyectada (Barra A)]]+Table1[[#This Row],[MW Proyectada (Barra B)]]</f>
        <v>82.234999999999985</v>
      </c>
      <c r="N50" s="53">
        <f>IF(Table1[[#This Row],[TOTAL MW]]&lt;($P$1-Table18[[#This Row],[TOTAL MW]]),Table1[[#This Row],[MW Proyectada (Barra A)]],Table1[[#This Row],[MW Proyectada (Barra A)]]*($P$1-Table18[[#This Row],[TOTAL MW]])/Table1[[#This Row],[TOTAL MW]])</f>
        <v>38.757999999999996</v>
      </c>
      <c r="O50" s="53">
        <f>IF(Table1[[#This Row],[TOTAL MW]]&lt;($P$1-Table18[[#This Row],[TOTAL MW]]),Table1[[#This Row],[MW Proyectada (Barra B)]],Table1[[#This Row],[MW Proyectada (Barra B)]]*($P$1-Table18[[#This Row],[TOTAL MW]])/Table1[[#This Row],[TOTAL MW]])</f>
        <v>43.476999999999997</v>
      </c>
      <c r="P50" s="53">
        <f t="shared" si="0"/>
        <v>82.234999999999985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customProperties>
    <customPr name="_pios_id" r:id="rId2"/>
  </customProperties>
  <tableParts count="2"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tabSelected="1" topLeftCell="A5" zoomScale="80" zoomScaleNormal="80" workbookViewId="0">
      <selection activeCell="A3" sqref="A3:L50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139" t="str">
        <f>"DATA DE VIENTO EJECUTADO CE PUNTA LOMITAS EXPANSIÓN "&amp;UPPER(TEXT(A3,"DDDD dd mmmm"))</f>
        <v>DATA DE VIENTO EJECUTADO CE PUNTA LOMITAS EXPANSIÓN VIERNES 18 OCTUBRE</v>
      </c>
      <c r="B1" s="139"/>
      <c r="C1" s="139"/>
      <c r="F1" s="139" t="str">
        <f>"GENERACIÓN PROYECTADA CE PUNTA LOMITAS EXPANSIÓN, POR BARRA Y # AEG E/S "&amp;UPPER(TEXT(F3,"DDDD dd mmmm"))</f>
        <v>GENERACIÓN PROYECTADA CE PUNTA LOMITAS EXPANSIÓN, POR BARRA Y # AEG E/S DOMINGO 20 OCTUBRE</v>
      </c>
      <c r="G1" s="139"/>
      <c r="H1" s="139"/>
      <c r="I1" s="139"/>
      <c r="J1" s="139"/>
      <c r="K1" s="139"/>
      <c r="L1" s="139"/>
    </row>
    <row r="2" spans="1:12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</row>
    <row r="3" spans="1:12" x14ac:dyDescent="0.25">
      <c r="A3" s="105">
        <f>ROUND('Plantilla Datos'!E3,5)</f>
        <v>45583</v>
      </c>
      <c r="B3" s="51">
        <v>0</v>
      </c>
      <c r="C3" s="1">
        <f>'Plantilla Datos'!K9</f>
        <v>8.8000000000000007</v>
      </c>
      <c r="F3" s="106">
        <f>(Table29[[#This Row],[Fecha]]+2)</f>
        <v>45585</v>
      </c>
      <c r="G3" s="52">
        <f>Table29[[#This Row],[Hora]]</f>
        <v>0</v>
      </c>
      <c r="H3" s="53">
        <f>VLOOKUP(Table18[[#This Row],[Fecha]],TBL_CalcDarwin[],46,1)</f>
        <v>1.0350000000000001</v>
      </c>
      <c r="I3" s="53">
        <f>VLOOKUP(Table18[[#This Row],[Fecha]],TBL_CalcDarwin[],47,1)</f>
        <v>0.73199999999999998</v>
      </c>
      <c r="J3" s="73">
        <f>VLOOKUP(Table18[[#This Row],[Fecha]],TBL_CalcDarwin[],44,1)</f>
        <v>3</v>
      </c>
      <c r="K3" s="73">
        <f>VLOOKUP(Table18[[#This Row],[Fecha]],TBL_CalcDarwin[],45,1)</f>
        <v>3</v>
      </c>
      <c r="L3" s="53">
        <f>Table18[[#This Row],[MW Proyectada (Barra A)]]+Table18[[#This Row],[MW Proyectada (Barra B)]]</f>
        <v>1.7670000000000001</v>
      </c>
    </row>
    <row r="4" spans="1:12" x14ac:dyDescent="0.25">
      <c r="A4" s="105">
        <f>A3+TIME(0,30,0)</f>
        <v>45583.020833333336</v>
      </c>
      <c r="B4" s="51">
        <f>B3+TIME(0,30,0)</f>
        <v>2.0833333333333332E-2</v>
      </c>
      <c r="C4" s="1">
        <f>'Plantilla Datos'!K10</f>
        <v>10.1</v>
      </c>
      <c r="F4" s="106">
        <f>(Table29[[#This Row],[Fecha]]+2)</f>
        <v>45585.020833333336</v>
      </c>
      <c r="G4" s="52">
        <f>Table29[[#This Row],[Hora]]</f>
        <v>2.0833333333333332E-2</v>
      </c>
      <c r="H4" s="53">
        <f>VLOOKUP(Table18[[#This Row],[Fecha]],TBL_CalcDarwin[],46,1)</f>
        <v>1.0350000000000001</v>
      </c>
      <c r="I4" s="53">
        <f>VLOOKUP(Table18[[#This Row],[Fecha]],TBL_CalcDarwin[],47,1)</f>
        <v>0.73199999999999998</v>
      </c>
      <c r="J4" s="73">
        <f>VLOOKUP(Table18[[#This Row],[Fecha]],TBL_CalcDarwin[],44,1)</f>
        <v>3</v>
      </c>
      <c r="K4" s="73">
        <f>VLOOKUP(Table18[[#This Row],[Fecha]],TBL_CalcDarwin[],45,1)</f>
        <v>3</v>
      </c>
      <c r="L4" s="53">
        <f>Table18[[#This Row],[MW Proyectada (Barra A)]]+Table18[[#This Row],[MW Proyectada (Barra B)]]</f>
        <v>1.7670000000000001</v>
      </c>
    </row>
    <row r="5" spans="1:12" x14ac:dyDescent="0.25">
      <c r="A5" s="105">
        <f t="shared" ref="A5:B20" si="0">A4+TIME(0,30,0)</f>
        <v>45583.041666666672</v>
      </c>
      <c r="B5" s="51">
        <f t="shared" si="0"/>
        <v>4.1666666666666664E-2</v>
      </c>
      <c r="C5" s="1">
        <f>'Plantilla Datos'!K11</f>
        <v>9</v>
      </c>
      <c r="F5" s="106">
        <f>(Table29[[#This Row],[Fecha]]+2)</f>
        <v>45585.041666666672</v>
      </c>
      <c r="G5" s="52">
        <f>Table29[[#This Row],[Hora]]</f>
        <v>4.1666666666666664E-2</v>
      </c>
      <c r="H5" s="53">
        <f>VLOOKUP(Table18[[#This Row],[Fecha]],TBL_CalcDarwin[],46,1)</f>
        <v>1.0350000000000001</v>
      </c>
      <c r="I5" s="53">
        <f>VLOOKUP(Table18[[#This Row],[Fecha]],TBL_CalcDarwin[],47,1)</f>
        <v>0.73199999999999998</v>
      </c>
      <c r="J5" s="73">
        <f>VLOOKUP(Table18[[#This Row],[Fecha]],TBL_CalcDarwin[],44,1)</f>
        <v>3</v>
      </c>
      <c r="K5" s="73">
        <f>VLOOKUP(Table18[[#This Row],[Fecha]],TBL_CalcDarwin[],45,1)</f>
        <v>3</v>
      </c>
      <c r="L5" s="53">
        <f>Table18[[#This Row],[MW Proyectada (Barra A)]]+Table18[[#This Row],[MW Proyectada (Barra B)]]</f>
        <v>1.7670000000000001</v>
      </c>
    </row>
    <row r="6" spans="1:12" x14ac:dyDescent="0.25">
      <c r="A6" s="105">
        <f t="shared" si="0"/>
        <v>45583.062500000007</v>
      </c>
      <c r="B6" s="51">
        <f t="shared" si="0"/>
        <v>6.25E-2</v>
      </c>
      <c r="C6" s="1">
        <f>'Plantilla Datos'!K12</f>
        <v>8</v>
      </c>
      <c r="F6" s="106">
        <f>(Table29[[#This Row],[Fecha]]+2)</f>
        <v>45585.062500000007</v>
      </c>
      <c r="G6" s="52">
        <f>Table29[[#This Row],[Hora]]</f>
        <v>6.25E-2</v>
      </c>
      <c r="H6" s="53">
        <f>VLOOKUP(Table18[[#This Row],[Fecha]],TBL_CalcDarwin[],46,1)</f>
        <v>1.0350000000000001</v>
      </c>
      <c r="I6" s="53">
        <f>VLOOKUP(Table18[[#This Row],[Fecha]],TBL_CalcDarwin[],47,1)</f>
        <v>0.73199999999999998</v>
      </c>
      <c r="J6" s="73">
        <f>VLOOKUP(Table18[[#This Row],[Fecha]],TBL_CalcDarwin[],44,1)</f>
        <v>3</v>
      </c>
      <c r="K6" s="73">
        <f>VLOOKUP(Table18[[#This Row],[Fecha]],TBL_CalcDarwin[],45,1)</f>
        <v>3</v>
      </c>
      <c r="L6" s="53">
        <f>Table18[[#This Row],[MW Proyectada (Barra A)]]+Table18[[#This Row],[MW Proyectada (Barra B)]]</f>
        <v>1.7670000000000001</v>
      </c>
    </row>
    <row r="7" spans="1:12" x14ac:dyDescent="0.25">
      <c r="A7" s="105">
        <f t="shared" si="0"/>
        <v>45583.083333333343</v>
      </c>
      <c r="B7" s="51">
        <f t="shared" si="0"/>
        <v>8.3333333333333329E-2</v>
      </c>
      <c r="C7" s="1">
        <f>'Plantilla Datos'!K13</f>
        <v>10.7</v>
      </c>
      <c r="F7" s="106">
        <f>(Table29[[#This Row],[Fecha]]+2)</f>
        <v>45585.083333333343</v>
      </c>
      <c r="G7" s="52">
        <f>Table29[[#This Row],[Hora]]</f>
        <v>8.3333333333333329E-2</v>
      </c>
      <c r="H7" s="53">
        <f>VLOOKUP(Table18[[#This Row],[Fecha]],TBL_CalcDarwin[],46,1)</f>
        <v>0.504</v>
      </c>
      <c r="I7" s="53">
        <f>VLOOKUP(Table18[[#This Row],[Fecha]],TBL_CalcDarwin[],47,1)</f>
        <v>0.39</v>
      </c>
      <c r="J7" s="73">
        <f>VLOOKUP(Table18[[#This Row],[Fecha]],TBL_CalcDarwin[],44,1)</f>
        <v>3</v>
      </c>
      <c r="K7" s="73">
        <f>VLOOKUP(Table18[[#This Row],[Fecha]],TBL_CalcDarwin[],45,1)</f>
        <v>3</v>
      </c>
      <c r="L7" s="53">
        <f>Table18[[#This Row],[MW Proyectada (Barra A)]]+Table18[[#This Row],[MW Proyectada (Barra B)]]</f>
        <v>0.89400000000000002</v>
      </c>
    </row>
    <row r="8" spans="1:12" x14ac:dyDescent="0.25">
      <c r="A8" s="105">
        <f t="shared" si="0"/>
        <v>45583.104166666679</v>
      </c>
      <c r="B8" s="51">
        <f t="shared" si="0"/>
        <v>0.10416666666666666</v>
      </c>
      <c r="C8" s="1">
        <f>'Plantilla Datos'!K14</f>
        <v>9.4</v>
      </c>
      <c r="F8" s="106">
        <f>(Table29[[#This Row],[Fecha]]+2)</f>
        <v>45585.104166666679</v>
      </c>
      <c r="G8" s="52">
        <f>Table29[[#This Row],[Hora]]</f>
        <v>0.10416666666666666</v>
      </c>
      <c r="H8" s="53">
        <f>VLOOKUP(Table18[[#This Row],[Fecha]],TBL_CalcDarwin[],46,1)</f>
        <v>0.504</v>
      </c>
      <c r="I8" s="53">
        <f>VLOOKUP(Table18[[#This Row],[Fecha]],TBL_CalcDarwin[],47,1)</f>
        <v>0.39</v>
      </c>
      <c r="J8" s="73">
        <f>VLOOKUP(Table18[[#This Row],[Fecha]],TBL_CalcDarwin[],44,1)</f>
        <v>3</v>
      </c>
      <c r="K8" s="73">
        <f>VLOOKUP(Table18[[#This Row],[Fecha]],TBL_CalcDarwin[],45,1)</f>
        <v>3</v>
      </c>
      <c r="L8" s="53">
        <f>Table18[[#This Row],[MW Proyectada (Barra A)]]+Table18[[#This Row],[MW Proyectada (Barra B)]]</f>
        <v>0.89400000000000002</v>
      </c>
    </row>
    <row r="9" spans="1:12" x14ac:dyDescent="0.25">
      <c r="A9" s="105">
        <f t="shared" si="0"/>
        <v>45583.125000000015</v>
      </c>
      <c r="B9" s="51">
        <f t="shared" si="0"/>
        <v>0.12499999999999999</v>
      </c>
      <c r="C9" s="1">
        <f>'Plantilla Datos'!K15</f>
        <v>7.9</v>
      </c>
      <c r="F9" s="106">
        <f>(Table29[[#This Row],[Fecha]]+2)</f>
        <v>45585.125000000015</v>
      </c>
      <c r="G9" s="52">
        <f>Table29[[#This Row],[Hora]]</f>
        <v>0.12499999999999999</v>
      </c>
      <c r="H9" s="53">
        <f>VLOOKUP(Table18[[#This Row],[Fecha]],TBL_CalcDarwin[],46,1)</f>
        <v>0.24</v>
      </c>
      <c r="I9" s="53">
        <f>VLOOKUP(Table18[[#This Row],[Fecha]],TBL_CalcDarwin[],47,1)</f>
        <v>0.16500000000000001</v>
      </c>
      <c r="J9" s="73">
        <f>VLOOKUP(Table18[[#This Row],[Fecha]],TBL_CalcDarwin[],44,1)</f>
        <v>3</v>
      </c>
      <c r="K9" s="73">
        <f>VLOOKUP(Table18[[#This Row],[Fecha]],TBL_CalcDarwin[],45,1)</f>
        <v>3</v>
      </c>
      <c r="L9" s="53">
        <f>Table18[[#This Row],[MW Proyectada (Barra A)]]+Table18[[#This Row],[MW Proyectada (Barra B)]]</f>
        <v>0.40500000000000003</v>
      </c>
    </row>
    <row r="10" spans="1:12" x14ac:dyDescent="0.25">
      <c r="A10" s="105">
        <f t="shared" si="0"/>
        <v>45583.14583333335</v>
      </c>
      <c r="B10" s="51">
        <f t="shared" si="0"/>
        <v>0.14583333333333331</v>
      </c>
      <c r="C10" s="1">
        <f>'Plantilla Datos'!K16</f>
        <v>7.1</v>
      </c>
      <c r="F10" s="106">
        <f>(Table29[[#This Row],[Fecha]]+2)</f>
        <v>45585.14583333335</v>
      </c>
      <c r="G10" s="52">
        <f>Table29[[#This Row],[Hora]]</f>
        <v>0.14583333333333331</v>
      </c>
      <c r="H10" s="53">
        <f>VLOOKUP(Table18[[#This Row],[Fecha]],TBL_CalcDarwin[],46,1)</f>
        <v>0.24</v>
      </c>
      <c r="I10" s="53">
        <f>VLOOKUP(Table18[[#This Row],[Fecha]],TBL_CalcDarwin[],47,1)</f>
        <v>0.16500000000000001</v>
      </c>
      <c r="J10" s="73">
        <f>VLOOKUP(Table18[[#This Row],[Fecha]],TBL_CalcDarwin[],44,1)</f>
        <v>3</v>
      </c>
      <c r="K10" s="73">
        <f>VLOOKUP(Table18[[#This Row],[Fecha]],TBL_CalcDarwin[],45,1)</f>
        <v>3</v>
      </c>
      <c r="L10" s="53">
        <f>Table18[[#This Row],[MW Proyectada (Barra A)]]+Table18[[#This Row],[MW Proyectada (Barra B)]]</f>
        <v>0.40500000000000003</v>
      </c>
    </row>
    <row r="11" spans="1:12" x14ac:dyDescent="0.25">
      <c r="A11" s="105">
        <f t="shared" si="0"/>
        <v>45583.166666666686</v>
      </c>
      <c r="B11" s="51">
        <f t="shared" si="0"/>
        <v>0.16666666666666666</v>
      </c>
      <c r="C11" s="1">
        <f>'Plantilla Datos'!K17</f>
        <v>7.5</v>
      </c>
      <c r="F11" s="106">
        <f>(Table29[[#This Row],[Fecha]]+2)</f>
        <v>45585.166666666686</v>
      </c>
      <c r="G11" s="52">
        <f>Table29[[#This Row],[Hora]]</f>
        <v>0.16666666666666666</v>
      </c>
      <c r="H11" s="53">
        <f>VLOOKUP(Table18[[#This Row],[Fecha]],TBL_CalcDarwin[],46,1)</f>
        <v>0</v>
      </c>
      <c r="I11" s="53">
        <f>VLOOKUP(Table18[[#This Row],[Fecha]],TBL_CalcDarwin[],47,1)</f>
        <v>0</v>
      </c>
      <c r="J11" s="73">
        <f>VLOOKUP(Table18[[#This Row],[Fecha]],TBL_CalcDarwin[],44,1)</f>
        <v>3</v>
      </c>
      <c r="K11" s="73">
        <f>VLOOKUP(Table18[[#This Row],[Fecha]],TBL_CalcDarwin[],45,1)</f>
        <v>3</v>
      </c>
      <c r="L11" s="53">
        <f>Table18[[#This Row],[MW Proyectada (Barra A)]]+Table18[[#This Row],[MW Proyectada (Barra B)]]</f>
        <v>0</v>
      </c>
    </row>
    <row r="12" spans="1:12" x14ac:dyDescent="0.25">
      <c r="A12" s="105">
        <f t="shared" si="0"/>
        <v>45583.187500000022</v>
      </c>
      <c r="B12" s="51">
        <f t="shared" si="0"/>
        <v>0.1875</v>
      </c>
      <c r="C12" s="1">
        <f>'Plantilla Datos'!K18</f>
        <v>7.5</v>
      </c>
      <c r="F12" s="106">
        <f>(Table29[[#This Row],[Fecha]]+2)</f>
        <v>45585.187500000022</v>
      </c>
      <c r="G12" s="52">
        <f>Table29[[#This Row],[Hora]]</f>
        <v>0.1875</v>
      </c>
      <c r="H12" s="53">
        <f>VLOOKUP(Table18[[#This Row],[Fecha]],TBL_CalcDarwin[],46,1)</f>
        <v>0</v>
      </c>
      <c r="I12" s="53">
        <f>VLOOKUP(Table18[[#This Row],[Fecha]],TBL_CalcDarwin[],47,1)</f>
        <v>0</v>
      </c>
      <c r="J12" s="73">
        <f>VLOOKUP(Table18[[#This Row],[Fecha]],TBL_CalcDarwin[],44,1)</f>
        <v>3</v>
      </c>
      <c r="K12" s="73">
        <f>VLOOKUP(Table18[[#This Row],[Fecha]],TBL_CalcDarwin[],45,1)</f>
        <v>3</v>
      </c>
      <c r="L12" s="53">
        <f>Table18[[#This Row],[MW Proyectada (Barra A)]]+Table18[[#This Row],[MW Proyectada (Barra B)]]</f>
        <v>0</v>
      </c>
    </row>
    <row r="13" spans="1:12" x14ac:dyDescent="0.25">
      <c r="A13" s="105">
        <f t="shared" si="0"/>
        <v>45583.208333333358</v>
      </c>
      <c r="B13" s="51">
        <f t="shared" si="0"/>
        <v>0.20833333333333334</v>
      </c>
      <c r="C13" s="1">
        <f>'Plantilla Datos'!K19</f>
        <v>8</v>
      </c>
      <c r="F13" s="106">
        <f>(Table29[[#This Row],[Fecha]]+2)</f>
        <v>45585.208333333358</v>
      </c>
      <c r="G13" s="52">
        <f>Table29[[#This Row],[Hora]]</f>
        <v>0.20833333333333334</v>
      </c>
      <c r="H13" s="53">
        <f>VLOOKUP(Table18[[#This Row],[Fecha]],TBL_CalcDarwin[],46,1)</f>
        <v>0</v>
      </c>
      <c r="I13" s="53">
        <f>VLOOKUP(Table18[[#This Row],[Fecha]],TBL_CalcDarwin[],47,1)</f>
        <v>0</v>
      </c>
      <c r="J13" s="73">
        <f>VLOOKUP(Table18[[#This Row],[Fecha]],TBL_CalcDarwin[],44,1)</f>
        <v>3</v>
      </c>
      <c r="K13" s="73">
        <f>VLOOKUP(Table18[[#This Row],[Fecha]],TBL_CalcDarwin[],45,1)</f>
        <v>3</v>
      </c>
      <c r="L13" s="53">
        <f>Table18[[#This Row],[MW Proyectada (Barra A)]]+Table18[[#This Row],[MW Proyectada (Barra B)]]</f>
        <v>0</v>
      </c>
    </row>
    <row r="14" spans="1:12" x14ac:dyDescent="0.25">
      <c r="A14" s="105">
        <f t="shared" si="0"/>
        <v>45583.229166666693</v>
      </c>
      <c r="B14" s="51">
        <f t="shared" si="0"/>
        <v>0.22916666666666669</v>
      </c>
      <c r="C14" s="1">
        <f>'Plantilla Datos'!K20</f>
        <v>9</v>
      </c>
      <c r="F14" s="106">
        <f>(Table29[[#This Row],[Fecha]]+2)</f>
        <v>45585.229166666693</v>
      </c>
      <c r="G14" s="52">
        <f>Table29[[#This Row],[Hora]]</f>
        <v>0.22916666666666669</v>
      </c>
      <c r="H14" s="53">
        <f>VLOOKUP(Table18[[#This Row],[Fecha]],TBL_CalcDarwin[],46,1)</f>
        <v>0</v>
      </c>
      <c r="I14" s="53">
        <f>VLOOKUP(Table18[[#This Row],[Fecha]],TBL_CalcDarwin[],47,1)</f>
        <v>0</v>
      </c>
      <c r="J14" s="73">
        <f>VLOOKUP(Table18[[#This Row],[Fecha]],TBL_CalcDarwin[],44,1)</f>
        <v>3</v>
      </c>
      <c r="K14" s="73">
        <f>VLOOKUP(Table18[[#This Row],[Fecha]],TBL_CalcDarwin[],45,1)</f>
        <v>3</v>
      </c>
      <c r="L14" s="53">
        <f>Table18[[#This Row],[MW Proyectada (Barra A)]]+Table18[[#This Row],[MW Proyectada (Barra B)]]</f>
        <v>0</v>
      </c>
    </row>
    <row r="15" spans="1:12" x14ac:dyDescent="0.25">
      <c r="A15" s="105">
        <f t="shared" si="0"/>
        <v>45583.250000000029</v>
      </c>
      <c r="B15" s="51">
        <f t="shared" si="0"/>
        <v>0.25</v>
      </c>
      <c r="C15" s="1">
        <f>'Plantilla Datos'!K21</f>
        <v>7.2</v>
      </c>
      <c r="F15" s="106">
        <f>(Table29[[#This Row],[Fecha]]+2)</f>
        <v>45585.250000000029</v>
      </c>
      <c r="G15" s="52">
        <f>Table29[[#This Row],[Hora]]</f>
        <v>0.25</v>
      </c>
      <c r="H15" s="53">
        <f>VLOOKUP(Table18[[#This Row],[Fecha]],TBL_CalcDarwin[],46,1)</f>
        <v>0</v>
      </c>
      <c r="I15" s="53">
        <f>VLOOKUP(Table18[[#This Row],[Fecha]],TBL_CalcDarwin[],47,1)</f>
        <v>0</v>
      </c>
      <c r="J15" s="73">
        <f>VLOOKUP(Table18[[#This Row],[Fecha]],TBL_CalcDarwin[],44,1)</f>
        <v>3</v>
      </c>
      <c r="K15" s="73">
        <f>VLOOKUP(Table18[[#This Row],[Fecha]],TBL_CalcDarwin[],45,1)</f>
        <v>3</v>
      </c>
      <c r="L15" s="53">
        <f>Table18[[#This Row],[MW Proyectada (Barra A)]]+Table18[[#This Row],[MW Proyectada (Barra B)]]</f>
        <v>0</v>
      </c>
    </row>
    <row r="16" spans="1:12" x14ac:dyDescent="0.25">
      <c r="A16" s="105">
        <f t="shared" si="0"/>
        <v>45583.270833333365</v>
      </c>
      <c r="B16" s="51">
        <f t="shared" si="0"/>
        <v>0.27083333333333331</v>
      </c>
      <c r="C16" s="1">
        <f>'Plantilla Datos'!K22</f>
        <v>7.3</v>
      </c>
      <c r="F16" s="106">
        <f>(Table29[[#This Row],[Fecha]]+2)</f>
        <v>45585.270833333365</v>
      </c>
      <c r="G16" s="52">
        <f>Table29[[#This Row],[Hora]]</f>
        <v>0.27083333333333331</v>
      </c>
      <c r="H16" s="53">
        <f>VLOOKUP(Table18[[#This Row],[Fecha]],TBL_CalcDarwin[],46,1)</f>
        <v>0</v>
      </c>
      <c r="I16" s="53">
        <f>VLOOKUP(Table18[[#This Row],[Fecha]],TBL_CalcDarwin[],47,1)</f>
        <v>0</v>
      </c>
      <c r="J16" s="73">
        <f>VLOOKUP(Table18[[#This Row],[Fecha]],TBL_CalcDarwin[],44,1)</f>
        <v>3</v>
      </c>
      <c r="K16" s="73">
        <f>VLOOKUP(Table18[[#This Row],[Fecha]],TBL_CalcDarwin[],45,1)</f>
        <v>3</v>
      </c>
      <c r="L16" s="53">
        <f>Table18[[#This Row],[MW Proyectada (Barra A)]]+Table18[[#This Row],[MW Proyectada (Barra B)]]</f>
        <v>0</v>
      </c>
    </row>
    <row r="17" spans="1:12" x14ac:dyDescent="0.25">
      <c r="A17" s="105">
        <f t="shared" si="0"/>
        <v>45583.291666666701</v>
      </c>
      <c r="B17" s="51">
        <f t="shared" si="0"/>
        <v>0.29166666666666663</v>
      </c>
      <c r="C17" s="1">
        <f>'Plantilla Datos'!K23</f>
        <v>9.1999999999999993</v>
      </c>
      <c r="F17" s="106">
        <f>(Table29[[#This Row],[Fecha]]+2)</f>
        <v>45585.291666666701</v>
      </c>
      <c r="G17" s="52">
        <f>Table29[[#This Row],[Hora]]</f>
        <v>0.29166666666666663</v>
      </c>
      <c r="H17" s="53">
        <f>VLOOKUP(Table18[[#This Row],[Fecha]],TBL_CalcDarwin[],46,1)</f>
        <v>0</v>
      </c>
      <c r="I17" s="53">
        <f>VLOOKUP(Table18[[#This Row],[Fecha]],TBL_CalcDarwin[],47,1)</f>
        <v>0</v>
      </c>
      <c r="J17" s="73">
        <f>VLOOKUP(Table18[[#This Row],[Fecha]],TBL_CalcDarwin[],44,1)</f>
        <v>3</v>
      </c>
      <c r="K17" s="73">
        <f>VLOOKUP(Table18[[#This Row],[Fecha]],TBL_CalcDarwin[],45,1)</f>
        <v>3</v>
      </c>
      <c r="L17" s="53">
        <f>Table18[[#This Row],[MW Proyectada (Barra A)]]+Table18[[#This Row],[MW Proyectada (Barra B)]]</f>
        <v>0</v>
      </c>
    </row>
    <row r="18" spans="1:12" x14ac:dyDescent="0.25">
      <c r="A18" s="105">
        <f t="shared" si="0"/>
        <v>45583.312500000036</v>
      </c>
      <c r="B18" s="51">
        <f t="shared" si="0"/>
        <v>0.31249999999999994</v>
      </c>
      <c r="C18" s="1">
        <f>'Plantilla Datos'!K24</f>
        <v>7.5</v>
      </c>
      <c r="F18" s="106">
        <f>(Table29[[#This Row],[Fecha]]+2)</f>
        <v>45585.312500000036</v>
      </c>
      <c r="G18" s="52">
        <f>Table29[[#This Row],[Hora]]</f>
        <v>0.31249999999999994</v>
      </c>
      <c r="H18" s="53">
        <f>VLOOKUP(Table18[[#This Row],[Fecha]],TBL_CalcDarwin[],46,1)</f>
        <v>0</v>
      </c>
      <c r="I18" s="53">
        <f>VLOOKUP(Table18[[#This Row],[Fecha]],TBL_CalcDarwin[],47,1)</f>
        <v>0</v>
      </c>
      <c r="J18" s="73">
        <f>VLOOKUP(Table18[[#This Row],[Fecha]],TBL_CalcDarwin[],44,1)</f>
        <v>3</v>
      </c>
      <c r="K18" s="73">
        <f>VLOOKUP(Table18[[#This Row],[Fecha]],TBL_CalcDarwin[],45,1)</f>
        <v>3</v>
      </c>
      <c r="L18" s="53">
        <f>Table18[[#This Row],[MW Proyectada (Barra A)]]+Table18[[#This Row],[MW Proyectada (Barra B)]]</f>
        <v>0</v>
      </c>
    </row>
    <row r="19" spans="1:12" x14ac:dyDescent="0.25">
      <c r="A19" s="105">
        <f t="shared" si="0"/>
        <v>45583.333333333372</v>
      </c>
      <c r="B19" s="51">
        <f t="shared" si="0"/>
        <v>0.33333333333333326</v>
      </c>
      <c r="C19" s="1">
        <f>'Plantilla Datos'!K25</f>
        <v>7.8</v>
      </c>
      <c r="F19" s="106">
        <f>(Table29[[#This Row],[Fecha]]+2)</f>
        <v>45585.333333333372</v>
      </c>
      <c r="G19" s="52">
        <f>Table29[[#This Row],[Hora]]</f>
        <v>0.33333333333333326</v>
      </c>
      <c r="H19" s="53">
        <f>VLOOKUP(Table18[[#This Row],[Fecha]],TBL_CalcDarwin[],46,1)</f>
        <v>0.16500000000000001</v>
      </c>
      <c r="I19" s="53">
        <f>VLOOKUP(Table18[[#This Row],[Fecha]],TBL_CalcDarwin[],47,1)</f>
        <v>0.16500000000000001</v>
      </c>
      <c r="J19" s="73">
        <f>VLOOKUP(Table18[[#This Row],[Fecha]],TBL_CalcDarwin[],44,1)</f>
        <v>3</v>
      </c>
      <c r="K19" s="73">
        <f>VLOOKUP(Table18[[#This Row],[Fecha]],TBL_CalcDarwin[],45,1)</f>
        <v>3</v>
      </c>
      <c r="L19" s="53">
        <f>Table18[[#This Row],[MW Proyectada (Barra A)]]+Table18[[#This Row],[MW Proyectada (Barra B)]]</f>
        <v>0.33</v>
      </c>
    </row>
    <row r="20" spans="1:12" x14ac:dyDescent="0.25">
      <c r="A20" s="105">
        <f t="shared" si="0"/>
        <v>45583.354166666708</v>
      </c>
      <c r="B20" s="51">
        <f t="shared" si="0"/>
        <v>0.35416666666666657</v>
      </c>
      <c r="C20" s="1">
        <f>'Plantilla Datos'!K26</f>
        <v>6.7</v>
      </c>
      <c r="F20" s="106">
        <f>(Table29[[#This Row],[Fecha]]+2)</f>
        <v>45585.354166666708</v>
      </c>
      <c r="G20" s="52">
        <f>Table29[[#This Row],[Hora]]</f>
        <v>0.35416666666666657</v>
      </c>
      <c r="H20" s="53">
        <f>VLOOKUP(Table18[[#This Row],[Fecha]],TBL_CalcDarwin[],46,1)</f>
        <v>0.16500000000000001</v>
      </c>
      <c r="I20" s="53">
        <f>VLOOKUP(Table18[[#This Row],[Fecha]],TBL_CalcDarwin[],47,1)</f>
        <v>0.16500000000000001</v>
      </c>
      <c r="J20" s="73">
        <f>VLOOKUP(Table18[[#This Row],[Fecha]],TBL_CalcDarwin[],44,1)</f>
        <v>3</v>
      </c>
      <c r="K20" s="73">
        <f>VLOOKUP(Table18[[#This Row],[Fecha]],TBL_CalcDarwin[],45,1)</f>
        <v>3</v>
      </c>
      <c r="L20" s="53">
        <f>Table18[[#This Row],[MW Proyectada (Barra A)]]+Table18[[#This Row],[MW Proyectada (Barra B)]]</f>
        <v>0.33</v>
      </c>
    </row>
    <row r="21" spans="1:12" x14ac:dyDescent="0.25">
      <c r="A21" s="105">
        <f t="shared" ref="A21:B36" si="1">A20+TIME(0,30,0)</f>
        <v>45583.375000000044</v>
      </c>
      <c r="B21" s="51">
        <f t="shared" si="1"/>
        <v>0.37499999999999989</v>
      </c>
      <c r="C21" s="1">
        <f>'Plantilla Datos'!K27</f>
        <v>7</v>
      </c>
      <c r="F21" s="106">
        <f>(Table29[[#This Row],[Fecha]]+2)</f>
        <v>45585.375000000044</v>
      </c>
      <c r="G21" s="52">
        <f>Table29[[#This Row],[Hora]]</f>
        <v>0.37499999999999989</v>
      </c>
      <c r="H21" s="53">
        <f>VLOOKUP(Table18[[#This Row],[Fecha]],TBL_CalcDarwin[],46,1)</f>
        <v>0.504</v>
      </c>
      <c r="I21" s="53">
        <f>VLOOKUP(Table18[[#This Row],[Fecha]],TBL_CalcDarwin[],47,1)</f>
        <v>0.39</v>
      </c>
      <c r="J21" s="73">
        <f>VLOOKUP(Table18[[#This Row],[Fecha]],TBL_CalcDarwin[],44,1)</f>
        <v>3</v>
      </c>
      <c r="K21" s="73">
        <f>VLOOKUP(Table18[[#This Row],[Fecha]],TBL_CalcDarwin[],45,1)</f>
        <v>3</v>
      </c>
      <c r="L21" s="53">
        <f>Table18[[#This Row],[MW Proyectada (Barra A)]]+Table18[[#This Row],[MW Proyectada (Barra B)]]</f>
        <v>0.89400000000000002</v>
      </c>
    </row>
    <row r="22" spans="1:12" x14ac:dyDescent="0.25">
      <c r="A22" s="105">
        <f t="shared" si="1"/>
        <v>45583.395833333379</v>
      </c>
      <c r="B22" s="51">
        <f t="shared" si="1"/>
        <v>0.3958333333333332</v>
      </c>
      <c r="C22" s="1">
        <f>'Plantilla Datos'!K28</f>
        <v>8</v>
      </c>
      <c r="F22" s="106">
        <f>(Table29[[#This Row],[Fecha]]+2)</f>
        <v>45585.395833333379</v>
      </c>
      <c r="G22" s="52">
        <f>Table29[[#This Row],[Hora]]</f>
        <v>0.3958333333333332</v>
      </c>
      <c r="H22" s="53">
        <f>VLOOKUP(Table18[[#This Row],[Fecha]],TBL_CalcDarwin[],46,1)</f>
        <v>0.504</v>
      </c>
      <c r="I22" s="53">
        <f>VLOOKUP(Table18[[#This Row],[Fecha]],TBL_CalcDarwin[],47,1)</f>
        <v>0.39</v>
      </c>
      <c r="J22" s="73">
        <f>VLOOKUP(Table18[[#This Row],[Fecha]],TBL_CalcDarwin[],44,1)</f>
        <v>3</v>
      </c>
      <c r="K22" s="73">
        <f>VLOOKUP(Table18[[#This Row],[Fecha]],TBL_CalcDarwin[],45,1)</f>
        <v>3</v>
      </c>
      <c r="L22" s="53">
        <f>Table18[[#This Row],[MW Proyectada (Barra A)]]+Table18[[#This Row],[MW Proyectada (Barra B)]]</f>
        <v>0.89400000000000002</v>
      </c>
    </row>
    <row r="23" spans="1:12" x14ac:dyDescent="0.25">
      <c r="A23" s="105">
        <f t="shared" si="1"/>
        <v>45583.416666666715</v>
      </c>
      <c r="B23" s="51">
        <f t="shared" si="1"/>
        <v>0.41666666666666652</v>
      </c>
      <c r="C23" s="1">
        <f>'Plantilla Datos'!K29</f>
        <v>10.4</v>
      </c>
      <c r="F23" s="106">
        <f>(Table29[[#This Row],[Fecha]]+2)</f>
        <v>45585.416666666715</v>
      </c>
      <c r="G23" s="52">
        <f>Table29[[#This Row],[Hora]]</f>
        <v>0.41666666666666652</v>
      </c>
      <c r="H23" s="53">
        <f>VLOOKUP(Table18[[#This Row],[Fecha]],TBL_CalcDarwin[],46,1)</f>
        <v>1.0350000000000001</v>
      </c>
      <c r="I23" s="53">
        <f>VLOOKUP(Table18[[#This Row],[Fecha]],TBL_CalcDarwin[],47,1)</f>
        <v>0.73199999999999998</v>
      </c>
      <c r="J23" s="73">
        <f>VLOOKUP(Table18[[#This Row],[Fecha]],TBL_CalcDarwin[],44,1)</f>
        <v>3</v>
      </c>
      <c r="K23" s="73">
        <f>VLOOKUP(Table18[[#This Row],[Fecha]],TBL_CalcDarwin[],45,1)</f>
        <v>3</v>
      </c>
      <c r="L23" s="53">
        <f>Table18[[#This Row],[MW Proyectada (Barra A)]]+Table18[[#This Row],[MW Proyectada (Barra B)]]</f>
        <v>1.7670000000000001</v>
      </c>
    </row>
    <row r="24" spans="1:12" x14ac:dyDescent="0.25">
      <c r="A24" s="105">
        <f t="shared" si="1"/>
        <v>45583.437500000051</v>
      </c>
      <c r="B24" s="51">
        <f t="shared" si="1"/>
        <v>0.43749999999999983</v>
      </c>
      <c r="C24" s="1">
        <f>'Plantilla Datos'!K30</f>
        <v>10</v>
      </c>
      <c r="F24" s="106">
        <f>(Table29[[#This Row],[Fecha]]+2)</f>
        <v>45585.437500000051</v>
      </c>
      <c r="G24" s="52">
        <f>Table29[[#This Row],[Hora]]</f>
        <v>0.43749999999999983</v>
      </c>
      <c r="H24" s="53">
        <f>VLOOKUP(Table18[[#This Row],[Fecha]],TBL_CalcDarwin[],46,1)</f>
        <v>1.0350000000000001</v>
      </c>
      <c r="I24" s="53">
        <f>VLOOKUP(Table18[[#This Row],[Fecha]],TBL_CalcDarwin[],47,1)</f>
        <v>0.73199999999999998</v>
      </c>
      <c r="J24" s="73">
        <f>VLOOKUP(Table18[[#This Row],[Fecha]],TBL_CalcDarwin[],44,1)</f>
        <v>3</v>
      </c>
      <c r="K24" s="73">
        <f>VLOOKUP(Table18[[#This Row],[Fecha]],TBL_CalcDarwin[],45,1)</f>
        <v>3</v>
      </c>
      <c r="L24" s="53">
        <f>Table18[[#This Row],[MW Proyectada (Barra A)]]+Table18[[#This Row],[MW Proyectada (Barra B)]]</f>
        <v>1.7670000000000001</v>
      </c>
    </row>
    <row r="25" spans="1:12" x14ac:dyDescent="0.25">
      <c r="A25" s="105">
        <f t="shared" si="1"/>
        <v>45583.458333333387</v>
      </c>
      <c r="B25" s="51">
        <f t="shared" si="1"/>
        <v>0.45833333333333315</v>
      </c>
      <c r="C25" s="1">
        <f>'Plantilla Datos'!K31</f>
        <v>9.5</v>
      </c>
      <c r="F25" s="106">
        <f>(Table29[[#This Row],[Fecha]]+2)</f>
        <v>45585.458333333387</v>
      </c>
      <c r="G25" s="52">
        <f>Table29[[#This Row],[Hora]]</f>
        <v>0.45833333333333315</v>
      </c>
      <c r="H25" s="53">
        <f>VLOOKUP(Table18[[#This Row],[Fecha]],TBL_CalcDarwin[],46,1)</f>
        <v>1.3109999999999999</v>
      </c>
      <c r="I25" s="53">
        <f>VLOOKUP(Table18[[#This Row],[Fecha]],TBL_CalcDarwin[],47,1)</f>
        <v>1.1459999999999999</v>
      </c>
      <c r="J25" s="73">
        <f>VLOOKUP(Table18[[#This Row],[Fecha]],TBL_CalcDarwin[],44,1)</f>
        <v>3</v>
      </c>
      <c r="K25" s="73">
        <f>VLOOKUP(Table18[[#This Row],[Fecha]],TBL_CalcDarwin[],45,1)</f>
        <v>3</v>
      </c>
      <c r="L25" s="53">
        <f>Table18[[#This Row],[MW Proyectada (Barra A)]]+Table18[[#This Row],[MW Proyectada (Barra B)]]</f>
        <v>2.4569999999999999</v>
      </c>
    </row>
    <row r="26" spans="1:12" x14ac:dyDescent="0.25">
      <c r="A26" s="105">
        <f t="shared" si="1"/>
        <v>45583.479166666722</v>
      </c>
      <c r="B26" s="51">
        <f t="shared" si="1"/>
        <v>0.47916666666666646</v>
      </c>
      <c r="C26" s="1">
        <f>'Plantilla Datos'!K32</f>
        <v>10.5</v>
      </c>
      <c r="F26" s="106">
        <f>(Table29[[#This Row],[Fecha]]+2)</f>
        <v>45585.479166666722</v>
      </c>
      <c r="G26" s="52">
        <f>Table29[[#This Row],[Hora]]</f>
        <v>0.47916666666666646</v>
      </c>
      <c r="H26" s="53">
        <f>VLOOKUP(Table18[[#This Row],[Fecha]],TBL_CalcDarwin[],46,1)</f>
        <v>1.3109999999999999</v>
      </c>
      <c r="I26" s="53">
        <f>VLOOKUP(Table18[[#This Row],[Fecha]],TBL_CalcDarwin[],47,1)</f>
        <v>1.1459999999999999</v>
      </c>
      <c r="J26" s="73">
        <f>VLOOKUP(Table18[[#This Row],[Fecha]],TBL_CalcDarwin[],44,1)</f>
        <v>3</v>
      </c>
      <c r="K26" s="73">
        <f>VLOOKUP(Table18[[#This Row],[Fecha]],TBL_CalcDarwin[],45,1)</f>
        <v>3</v>
      </c>
      <c r="L26" s="53">
        <f>Table18[[#This Row],[MW Proyectada (Barra A)]]+Table18[[#This Row],[MW Proyectada (Barra B)]]</f>
        <v>2.4569999999999999</v>
      </c>
    </row>
    <row r="27" spans="1:12" x14ac:dyDescent="0.25">
      <c r="A27" s="105">
        <f t="shared" si="1"/>
        <v>45583.500000000058</v>
      </c>
      <c r="B27" s="51">
        <f t="shared" si="1"/>
        <v>0.49999999999999978</v>
      </c>
      <c r="C27" s="1">
        <f>'Plantilla Datos'!K33</f>
        <v>11.7</v>
      </c>
      <c r="F27" s="106">
        <f>(Table29[[#This Row],[Fecha]]+2)</f>
        <v>45585.500000000058</v>
      </c>
      <c r="G27" s="52">
        <f>Table29[[#This Row],[Hora]]</f>
        <v>0.49999999999999978</v>
      </c>
      <c r="H27" s="53">
        <f>VLOOKUP(Table18[[#This Row],[Fecha]],TBL_CalcDarwin[],46,1)</f>
        <v>1.5089999999999999</v>
      </c>
      <c r="I27" s="53">
        <f>VLOOKUP(Table18[[#This Row],[Fecha]],TBL_CalcDarwin[],47,1)</f>
        <v>1.1459999999999999</v>
      </c>
      <c r="J27" s="73">
        <f>VLOOKUP(Table18[[#This Row],[Fecha]],TBL_CalcDarwin[],44,1)</f>
        <v>3</v>
      </c>
      <c r="K27" s="73">
        <f>VLOOKUP(Table18[[#This Row],[Fecha]],TBL_CalcDarwin[],45,1)</f>
        <v>3</v>
      </c>
      <c r="L27" s="53">
        <f>Table18[[#This Row],[MW Proyectada (Barra A)]]+Table18[[#This Row],[MW Proyectada (Barra B)]]</f>
        <v>2.6549999999999998</v>
      </c>
    </row>
    <row r="28" spans="1:12" x14ac:dyDescent="0.25">
      <c r="A28" s="105">
        <f t="shared" si="1"/>
        <v>45583.520833333394</v>
      </c>
      <c r="B28" s="51">
        <f t="shared" si="1"/>
        <v>0.52083333333333315</v>
      </c>
      <c r="C28" s="1">
        <f>'Plantilla Datos'!K34</f>
        <v>10.8</v>
      </c>
      <c r="F28" s="106">
        <f>(Table29[[#This Row],[Fecha]]+2)</f>
        <v>45585.520833333394</v>
      </c>
      <c r="G28" s="52">
        <f>Table29[[#This Row],[Hora]]</f>
        <v>0.52083333333333315</v>
      </c>
      <c r="H28" s="53">
        <f>VLOOKUP(Table18[[#This Row],[Fecha]],TBL_CalcDarwin[],46,1)</f>
        <v>1.5089999999999999</v>
      </c>
      <c r="I28" s="53">
        <f>VLOOKUP(Table18[[#This Row],[Fecha]],TBL_CalcDarwin[],47,1)</f>
        <v>1.1459999999999999</v>
      </c>
      <c r="J28" s="73">
        <f>VLOOKUP(Table18[[#This Row],[Fecha]],TBL_CalcDarwin[],44,1)</f>
        <v>3</v>
      </c>
      <c r="K28" s="73">
        <f>VLOOKUP(Table18[[#This Row],[Fecha]],TBL_CalcDarwin[],45,1)</f>
        <v>3</v>
      </c>
      <c r="L28" s="53">
        <f>Table18[[#This Row],[MW Proyectada (Barra A)]]+Table18[[#This Row],[MW Proyectada (Barra B)]]</f>
        <v>2.6549999999999998</v>
      </c>
    </row>
    <row r="29" spans="1:12" x14ac:dyDescent="0.25">
      <c r="A29" s="105">
        <f t="shared" si="1"/>
        <v>45583.54166666673</v>
      </c>
      <c r="B29" s="51">
        <f t="shared" si="1"/>
        <v>0.54166666666666652</v>
      </c>
      <c r="C29" s="1">
        <f>'Plantilla Datos'!K35</f>
        <v>11.1</v>
      </c>
      <c r="F29" s="106">
        <f>(Table29[[#This Row],[Fecha]]+2)</f>
        <v>45585.54166666673</v>
      </c>
      <c r="G29" s="52">
        <f>Table29[[#This Row],[Hora]]</f>
        <v>0.54166666666666652</v>
      </c>
      <c r="H29" s="53">
        <f>VLOOKUP(Table18[[#This Row],[Fecha]],TBL_CalcDarwin[],46,1)</f>
        <v>2.077</v>
      </c>
      <c r="I29" s="53">
        <f>VLOOKUP(Table18[[#This Row],[Fecha]],TBL_CalcDarwin[],47,1)</f>
        <v>1.641</v>
      </c>
      <c r="J29" s="73">
        <f>VLOOKUP(Table18[[#This Row],[Fecha]],TBL_CalcDarwin[],44,1)</f>
        <v>3</v>
      </c>
      <c r="K29" s="73">
        <f>VLOOKUP(Table18[[#This Row],[Fecha]],TBL_CalcDarwin[],45,1)</f>
        <v>3</v>
      </c>
      <c r="L29" s="53">
        <f>Table18[[#This Row],[MW Proyectada (Barra A)]]+Table18[[#This Row],[MW Proyectada (Barra B)]]</f>
        <v>3.718</v>
      </c>
    </row>
    <row r="30" spans="1:12" x14ac:dyDescent="0.25">
      <c r="A30" s="105">
        <f t="shared" si="1"/>
        <v>45583.562500000065</v>
      </c>
      <c r="B30" s="51">
        <f t="shared" si="1"/>
        <v>0.56249999999999989</v>
      </c>
      <c r="C30" s="1">
        <f>'Plantilla Datos'!K36</f>
        <v>10.5</v>
      </c>
      <c r="F30" s="106">
        <f>(Table29[[#This Row],[Fecha]]+2)</f>
        <v>45585.562500000065</v>
      </c>
      <c r="G30" s="52">
        <f>Table29[[#This Row],[Hora]]</f>
        <v>0.56249999999999989</v>
      </c>
      <c r="H30" s="53">
        <f>VLOOKUP(Table18[[#This Row],[Fecha]],TBL_CalcDarwin[],46,1)</f>
        <v>2.077</v>
      </c>
      <c r="I30" s="53">
        <f>VLOOKUP(Table18[[#This Row],[Fecha]],TBL_CalcDarwin[],47,1)</f>
        <v>1.641</v>
      </c>
      <c r="J30" s="73">
        <f>VLOOKUP(Table18[[#This Row],[Fecha]],TBL_CalcDarwin[],44,1)</f>
        <v>3</v>
      </c>
      <c r="K30" s="73">
        <f>VLOOKUP(Table18[[#This Row],[Fecha]],TBL_CalcDarwin[],45,1)</f>
        <v>3</v>
      </c>
      <c r="L30" s="53">
        <f>Table18[[#This Row],[MW Proyectada (Barra A)]]+Table18[[#This Row],[MW Proyectada (Barra B)]]</f>
        <v>3.718</v>
      </c>
    </row>
    <row r="31" spans="1:12" x14ac:dyDescent="0.25">
      <c r="A31" s="105">
        <f t="shared" si="1"/>
        <v>45583.583333333401</v>
      </c>
      <c r="B31" s="51">
        <f t="shared" si="1"/>
        <v>0.58333333333333326</v>
      </c>
      <c r="C31" s="1">
        <f>'Plantilla Datos'!K37</f>
        <v>9.5</v>
      </c>
      <c r="F31" s="106">
        <f>(Table29[[#This Row],[Fecha]]+2)</f>
        <v>45585.583333333401</v>
      </c>
      <c r="G31" s="52">
        <f>Table29[[#This Row],[Hora]]</f>
        <v>0.58333333333333326</v>
      </c>
      <c r="H31" s="53">
        <f>VLOOKUP(Table18[[#This Row],[Fecha]],TBL_CalcDarwin[],46,1)</f>
        <v>2.077</v>
      </c>
      <c r="I31" s="53">
        <f>VLOOKUP(Table18[[#This Row],[Fecha]],TBL_CalcDarwin[],47,1)</f>
        <v>1.641</v>
      </c>
      <c r="J31" s="73">
        <f>VLOOKUP(Table18[[#This Row],[Fecha]],TBL_CalcDarwin[],44,1)</f>
        <v>3</v>
      </c>
      <c r="K31" s="73">
        <f>VLOOKUP(Table18[[#This Row],[Fecha]],TBL_CalcDarwin[],45,1)</f>
        <v>3</v>
      </c>
      <c r="L31" s="53">
        <f>Table18[[#This Row],[MW Proyectada (Barra A)]]+Table18[[#This Row],[MW Proyectada (Barra B)]]</f>
        <v>3.718</v>
      </c>
    </row>
    <row r="32" spans="1:12" x14ac:dyDescent="0.25">
      <c r="A32" s="105">
        <f t="shared" si="1"/>
        <v>45583.604166666737</v>
      </c>
      <c r="B32" s="51">
        <f t="shared" si="1"/>
        <v>0.60416666666666663</v>
      </c>
      <c r="C32" s="1">
        <f>'Plantilla Datos'!K38</f>
        <v>11.6</v>
      </c>
      <c r="F32" s="106">
        <f>(Table29[[#This Row],[Fecha]]+2)</f>
        <v>45585.604166666737</v>
      </c>
      <c r="G32" s="52">
        <f>Table29[[#This Row],[Hora]]</f>
        <v>0.60416666666666663</v>
      </c>
      <c r="H32" s="53">
        <f>VLOOKUP(Table18[[#This Row],[Fecha]],TBL_CalcDarwin[],46,1)</f>
        <v>2.077</v>
      </c>
      <c r="I32" s="53">
        <f>VLOOKUP(Table18[[#This Row],[Fecha]],TBL_CalcDarwin[],47,1)</f>
        <v>1.641</v>
      </c>
      <c r="J32" s="73">
        <f>VLOOKUP(Table18[[#This Row],[Fecha]],TBL_CalcDarwin[],44,1)</f>
        <v>3</v>
      </c>
      <c r="K32" s="73">
        <f>VLOOKUP(Table18[[#This Row],[Fecha]],TBL_CalcDarwin[],45,1)</f>
        <v>3</v>
      </c>
      <c r="L32" s="53">
        <f>Table18[[#This Row],[MW Proyectada (Barra A)]]+Table18[[#This Row],[MW Proyectada (Barra B)]]</f>
        <v>3.718</v>
      </c>
    </row>
    <row r="33" spans="1:12" x14ac:dyDescent="0.25">
      <c r="A33" s="105">
        <f t="shared" si="1"/>
        <v>45583.625000000073</v>
      </c>
      <c r="B33" s="51">
        <f t="shared" si="1"/>
        <v>0.625</v>
      </c>
      <c r="C33" s="1">
        <f>'Plantilla Datos'!K39</f>
        <v>9.3000000000000007</v>
      </c>
      <c r="F33" s="106">
        <f>(Table29[[#This Row],[Fecha]]+2)</f>
        <v>45585.625000000073</v>
      </c>
      <c r="G33" s="52">
        <f>Table29[[#This Row],[Hora]]</f>
        <v>0.625</v>
      </c>
      <c r="H33" s="53">
        <f>VLOOKUP(Table18[[#This Row],[Fecha]],TBL_CalcDarwin[],46,1)</f>
        <v>2.7560000000000002</v>
      </c>
      <c r="I33" s="53">
        <f>VLOOKUP(Table18[[#This Row],[Fecha]],TBL_CalcDarwin[],47,1)</f>
        <v>2.2349999999999999</v>
      </c>
      <c r="J33" s="73">
        <f>VLOOKUP(Table18[[#This Row],[Fecha]],TBL_CalcDarwin[],44,1)</f>
        <v>3</v>
      </c>
      <c r="K33" s="73">
        <f>VLOOKUP(Table18[[#This Row],[Fecha]],TBL_CalcDarwin[],45,1)</f>
        <v>3</v>
      </c>
      <c r="L33" s="53">
        <f>Table18[[#This Row],[MW Proyectada (Barra A)]]+Table18[[#This Row],[MW Proyectada (Barra B)]]</f>
        <v>4.9909999999999997</v>
      </c>
    </row>
    <row r="34" spans="1:12" x14ac:dyDescent="0.25">
      <c r="A34" s="105">
        <f t="shared" si="1"/>
        <v>45583.645833333409</v>
      </c>
      <c r="B34" s="51">
        <f t="shared" si="1"/>
        <v>0.64583333333333337</v>
      </c>
      <c r="C34" s="1">
        <f>'Plantilla Datos'!K40</f>
        <v>10.7</v>
      </c>
      <c r="F34" s="106">
        <f>(Table29[[#This Row],[Fecha]]+2)</f>
        <v>45585.645833333409</v>
      </c>
      <c r="G34" s="52">
        <f>Table29[[#This Row],[Hora]]</f>
        <v>0.64583333333333337</v>
      </c>
      <c r="H34" s="53">
        <f>VLOOKUP(Table18[[#This Row],[Fecha]],TBL_CalcDarwin[],46,1)</f>
        <v>2.7560000000000002</v>
      </c>
      <c r="I34" s="53">
        <f>VLOOKUP(Table18[[#This Row],[Fecha]],TBL_CalcDarwin[],47,1)</f>
        <v>2.2349999999999999</v>
      </c>
      <c r="J34" s="73">
        <f>VLOOKUP(Table18[[#This Row],[Fecha]],TBL_CalcDarwin[],44,1)</f>
        <v>3</v>
      </c>
      <c r="K34" s="73">
        <f>VLOOKUP(Table18[[#This Row],[Fecha]],TBL_CalcDarwin[],45,1)</f>
        <v>3</v>
      </c>
      <c r="L34" s="53">
        <f>Table18[[#This Row],[MW Proyectada (Barra A)]]+Table18[[#This Row],[MW Proyectada (Barra B)]]</f>
        <v>4.9909999999999997</v>
      </c>
    </row>
    <row r="35" spans="1:12" x14ac:dyDescent="0.25">
      <c r="A35" s="105">
        <f t="shared" si="1"/>
        <v>45583.666666666744</v>
      </c>
      <c r="B35" s="51">
        <f t="shared" si="1"/>
        <v>0.66666666666666674</v>
      </c>
      <c r="C35" s="1">
        <f>'Plantilla Datos'!K41</f>
        <v>11</v>
      </c>
      <c r="F35" s="106">
        <f>(Table29[[#This Row],[Fecha]]+2)</f>
        <v>45585.666666666744</v>
      </c>
      <c r="G35" s="52">
        <f>Table29[[#This Row],[Hora]]</f>
        <v>0.66666666666666674</v>
      </c>
      <c r="H35" s="53">
        <f>VLOOKUP(Table18[[#This Row],[Fecha]],TBL_CalcDarwin[],46,1)</f>
        <v>3.5629999999999997</v>
      </c>
      <c r="I35" s="53">
        <f>VLOOKUP(Table18[[#This Row],[Fecha]],TBL_CalcDarwin[],47,1)</f>
        <v>2.9489999999999998</v>
      </c>
      <c r="J35" s="73">
        <f>VLOOKUP(Table18[[#This Row],[Fecha]],TBL_CalcDarwin[],44,1)</f>
        <v>3</v>
      </c>
      <c r="K35" s="73">
        <f>VLOOKUP(Table18[[#This Row],[Fecha]],TBL_CalcDarwin[],45,1)</f>
        <v>3</v>
      </c>
      <c r="L35" s="53">
        <f>Table18[[#This Row],[MW Proyectada (Barra A)]]+Table18[[#This Row],[MW Proyectada (Barra B)]]</f>
        <v>6.5119999999999996</v>
      </c>
    </row>
    <row r="36" spans="1:12" x14ac:dyDescent="0.25">
      <c r="A36" s="105">
        <f t="shared" si="1"/>
        <v>45583.68750000008</v>
      </c>
      <c r="B36" s="51">
        <f t="shared" si="1"/>
        <v>0.68750000000000011</v>
      </c>
      <c r="C36" s="1">
        <f>'Plantilla Datos'!K42</f>
        <v>11</v>
      </c>
      <c r="F36" s="106">
        <f>(Table29[[#This Row],[Fecha]]+2)</f>
        <v>45585.68750000008</v>
      </c>
      <c r="G36" s="52">
        <f>Table29[[#This Row],[Hora]]</f>
        <v>0.68750000000000011</v>
      </c>
      <c r="H36" s="53">
        <f>VLOOKUP(Table18[[#This Row],[Fecha]],TBL_CalcDarwin[],46,1)</f>
        <v>3.5629999999999997</v>
      </c>
      <c r="I36" s="53">
        <f>VLOOKUP(Table18[[#This Row],[Fecha]],TBL_CalcDarwin[],47,1)</f>
        <v>2.9489999999999998</v>
      </c>
      <c r="J36" s="73">
        <f>VLOOKUP(Table18[[#This Row],[Fecha]],TBL_CalcDarwin[],44,1)</f>
        <v>3</v>
      </c>
      <c r="K36" s="73">
        <f>VLOOKUP(Table18[[#This Row],[Fecha]],TBL_CalcDarwin[],45,1)</f>
        <v>3</v>
      </c>
      <c r="L36" s="53">
        <f>Table18[[#This Row],[MW Proyectada (Barra A)]]+Table18[[#This Row],[MW Proyectada (Barra B)]]</f>
        <v>6.5119999999999996</v>
      </c>
    </row>
    <row r="37" spans="1:12" x14ac:dyDescent="0.25">
      <c r="A37" s="105">
        <f t="shared" ref="A37:B50" si="2">A36+TIME(0,30,0)</f>
        <v>45583.708333333416</v>
      </c>
      <c r="B37" s="51">
        <f t="shared" si="2"/>
        <v>0.70833333333333348</v>
      </c>
      <c r="C37" s="1">
        <f>'Plantilla Datos'!K43</f>
        <v>9.1</v>
      </c>
      <c r="F37" s="106">
        <f>(Table29[[#This Row],[Fecha]]+2)</f>
        <v>45585.708333333416</v>
      </c>
      <c r="G37" s="52">
        <f>Table29[[#This Row],[Hora]]</f>
        <v>0.70833333333333348</v>
      </c>
      <c r="H37" s="53">
        <f>VLOOKUP(Table18[[#This Row],[Fecha]],TBL_CalcDarwin[],46,1)</f>
        <v>3.5629999999999997</v>
      </c>
      <c r="I37" s="53">
        <f>VLOOKUP(Table18[[#This Row],[Fecha]],TBL_CalcDarwin[],47,1)</f>
        <v>2.9489999999999998</v>
      </c>
      <c r="J37" s="73">
        <f>VLOOKUP(Table18[[#This Row],[Fecha]],TBL_CalcDarwin[],44,1)</f>
        <v>3</v>
      </c>
      <c r="K37" s="73">
        <f>VLOOKUP(Table18[[#This Row],[Fecha]],TBL_CalcDarwin[],45,1)</f>
        <v>3</v>
      </c>
      <c r="L37" s="53">
        <f>Table18[[#This Row],[MW Proyectada (Barra A)]]+Table18[[#This Row],[MW Proyectada (Barra B)]]</f>
        <v>6.5119999999999996</v>
      </c>
    </row>
    <row r="38" spans="1:12" x14ac:dyDescent="0.25">
      <c r="A38" s="105">
        <f t="shared" si="2"/>
        <v>45583.729166666752</v>
      </c>
      <c r="B38" s="51">
        <f t="shared" si="2"/>
        <v>0.72916666666666685</v>
      </c>
      <c r="C38" s="1">
        <f>'Plantilla Datos'!K44</f>
        <v>8.6</v>
      </c>
      <c r="F38" s="106">
        <f>(Table29[[#This Row],[Fecha]]+2)</f>
        <v>45585.729166666752</v>
      </c>
      <c r="G38" s="52">
        <f>Table29[[#This Row],[Hora]]</f>
        <v>0.72916666666666685</v>
      </c>
      <c r="H38" s="53">
        <f>VLOOKUP(Table18[[#This Row],[Fecha]],TBL_CalcDarwin[],46,1)</f>
        <v>3.5629999999999997</v>
      </c>
      <c r="I38" s="53">
        <f>VLOOKUP(Table18[[#This Row],[Fecha]],TBL_CalcDarwin[],47,1)</f>
        <v>2.9489999999999998</v>
      </c>
      <c r="J38" s="73">
        <f>VLOOKUP(Table18[[#This Row],[Fecha]],TBL_CalcDarwin[],44,1)</f>
        <v>3</v>
      </c>
      <c r="K38" s="73">
        <f>VLOOKUP(Table18[[#This Row],[Fecha]],TBL_CalcDarwin[],45,1)</f>
        <v>3</v>
      </c>
      <c r="L38" s="53">
        <f>Table18[[#This Row],[MW Proyectada (Barra A)]]+Table18[[#This Row],[MW Proyectada (Barra B)]]</f>
        <v>6.5119999999999996</v>
      </c>
    </row>
    <row r="39" spans="1:12" x14ac:dyDescent="0.25">
      <c r="A39" s="105">
        <f t="shared" si="2"/>
        <v>45583.750000000087</v>
      </c>
      <c r="B39" s="51">
        <f t="shared" si="2"/>
        <v>0.75000000000000022</v>
      </c>
      <c r="C39" s="1">
        <f>'Plantilla Datos'!K45</f>
        <v>6.8</v>
      </c>
      <c r="F39" s="106">
        <f>(Table29[[#This Row],[Fecha]]+2)</f>
        <v>45585.750000000087</v>
      </c>
      <c r="G39" s="52">
        <f>Table29[[#This Row],[Hora]]</f>
        <v>0.75000000000000022</v>
      </c>
      <c r="H39" s="53">
        <f>VLOOKUP(Table18[[#This Row],[Fecha]],TBL_CalcDarwin[],46,1)</f>
        <v>3.5629999999999997</v>
      </c>
      <c r="I39" s="53">
        <f>VLOOKUP(Table18[[#This Row],[Fecha]],TBL_CalcDarwin[],47,1)</f>
        <v>2.9489999999999998</v>
      </c>
      <c r="J39" s="73">
        <f>VLOOKUP(Table18[[#This Row],[Fecha]],TBL_CalcDarwin[],44,1)</f>
        <v>3</v>
      </c>
      <c r="K39" s="73">
        <f>VLOOKUP(Table18[[#This Row],[Fecha]],TBL_CalcDarwin[],45,1)</f>
        <v>3</v>
      </c>
      <c r="L39" s="53">
        <f>Table18[[#This Row],[MW Proyectada (Barra A)]]+Table18[[#This Row],[MW Proyectada (Barra B)]]</f>
        <v>6.5119999999999996</v>
      </c>
    </row>
    <row r="40" spans="1:12" x14ac:dyDescent="0.25">
      <c r="A40" s="105">
        <f t="shared" si="2"/>
        <v>45583.770833333423</v>
      </c>
      <c r="B40" s="51">
        <f t="shared" si="2"/>
        <v>0.77083333333333359</v>
      </c>
      <c r="C40" s="1">
        <f>'Plantilla Datos'!K46</f>
        <v>7.8</v>
      </c>
      <c r="F40" s="106">
        <f>(Table29[[#This Row],[Fecha]]+2)</f>
        <v>45585.770833333423</v>
      </c>
      <c r="G40" s="52">
        <f>Table29[[#This Row],[Hora]]</f>
        <v>0.77083333333333359</v>
      </c>
      <c r="H40" s="53">
        <f>VLOOKUP(Table18[[#This Row],[Fecha]],TBL_CalcDarwin[],46,1)</f>
        <v>3.5629999999999997</v>
      </c>
      <c r="I40" s="53">
        <f>VLOOKUP(Table18[[#This Row],[Fecha]],TBL_CalcDarwin[],47,1)</f>
        <v>2.9489999999999998</v>
      </c>
      <c r="J40" s="73">
        <f>VLOOKUP(Table18[[#This Row],[Fecha]],TBL_CalcDarwin[],44,1)</f>
        <v>3</v>
      </c>
      <c r="K40" s="73">
        <f>VLOOKUP(Table18[[#This Row],[Fecha]],TBL_CalcDarwin[],45,1)</f>
        <v>3</v>
      </c>
      <c r="L40" s="53">
        <f>Table18[[#This Row],[MW Proyectada (Barra A)]]+Table18[[#This Row],[MW Proyectada (Barra B)]]</f>
        <v>6.5119999999999996</v>
      </c>
    </row>
    <row r="41" spans="1:12" x14ac:dyDescent="0.25">
      <c r="A41" s="105">
        <f t="shared" si="2"/>
        <v>45583.791666666759</v>
      </c>
      <c r="B41" s="51">
        <f t="shared" si="2"/>
        <v>0.79166666666666696</v>
      </c>
      <c r="C41" s="1">
        <f>'Plantilla Datos'!K47</f>
        <v>6.8</v>
      </c>
      <c r="F41" s="106">
        <f>(Table29[[#This Row],[Fecha]]+2)</f>
        <v>45585.791666666759</v>
      </c>
      <c r="G41" s="52">
        <f>Table29[[#This Row],[Hora]]</f>
        <v>0.79166666666666696</v>
      </c>
      <c r="H41" s="53">
        <f>VLOOKUP(Table18[[#This Row],[Fecha]],TBL_CalcDarwin[],46,1)</f>
        <v>3.5629999999999997</v>
      </c>
      <c r="I41" s="53">
        <f>VLOOKUP(Table18[[#This Row],[Fecha]],TBL_CalcDarwin[],47,1)</f>
        <v>2.9489999999999998</v>
      </c>
      <c r="J41" s="73">
        <f>VLOOKUP(Table18[[#This Row],[Fecha]],TBL_CalcDarwin[],44,1)</f>
        <v>3</v>
      </c>
      <c r="K41" s="73">
        <f>VLOOKUP(Table18[[#This Row],[Fecha]],TBL_CalcDarwin[],45,1)</f>
        <v>3</v>
      </c>
      <c r="L41" s="53">
        <f>Table18[[#This Row],[MW Proyectada (Barra A)]]+Table18[[#This Row],[MW Proyectada (Barra B)]]</f>
        <v>6.5119999999999996</v>
      </c>
    </row>
    <row r="42" spans="1:12" x14ac:dyDescent="0.25">
      <c r="A42" s="105">
        <f t="shared" si="2"/>
        <v>45583.812500000095</v>
      </c>
      <c r="B42" s="51">
        <f t="shared" si="2"/>
        <v>0.81250000000000033</v>
      </c>
      <c r="C42" s="1">
        <f>'Plantilla Datos'!K48</f>
        <v>6.8</v>
      </c>
      <c r="F42" s="106">
        <f>(Table29[[#This Row],[Fecha]]+2)</f>
        <v>45585.812500000095</v>
      </c>
      <c r="G42" s="52">
        <f>Table29[[#This Row],[Hora]]</f>
        <v>0.81250000000000033</v>
      </c>
      <c r="H42" s="53">
        <f>VLOOKUP(Table18[[#This Row],[Fecha]],TBL_CalcDarwin[],46,1)</f>
        <v>3.5629999999999997</v>
      </c>
      <c r="I42" s="53">
        <f>VLOOKUP(Table18[[#This Row],[Fecha]],TBL_CalcDarwin[],47,1)</f>
        <v>2.9489999999999998</v>
      </c>
      <c r="J42" s="73">
        <f>VLOOKUP(Table18[[#This Row],[Fecha]],TBL_CalcDarwin[],44,1)</f>
        <v>3</v>
      </c>
      <c r="K42" s="73">
        <f>VLOOKUP(Table18[[#This Row],[Fecha]],TBL_CalcDarwin[],45,1)</f>
        <v>3</v>
      </c>
      <c r="L42" s="53">
        <f>Table18[[#This Row],[MW Proyectada (Barra A)]]+Table18[[#This Row],[MW Proyectada (Barra B)]]</f>
        <v>6.5119999999999996</v>
      </c>
    </row>
    <row r="43" spans="1:12" x14ac:dyDescent="0.25">
      <c r="A43" s="105">
        <f t="shared" si="2"/>
        <v>45583.83333333343</v>
      </c>
      <c r="B43" s="51">
        <f t="shared" si="2"/>
        <v>0.8333333333333337</v>
      </c>
      <c r="C43" s="1">
        <f>'Plantilla Datos'!K49</f>
        <v>8.6999999999999993</v>
      </c>
      <c r="F43" s="106">
        <f>(Table29[[#This Row],[Fecha]]+2)</f>
        <v>45585.83333333343</v>
      </c>
      <c r="G43" s="52">
        <f>Table29[[#This Row],[Hora]]</f>
        <v>0.8333333333333337</v>
      </c>
      <c r="H43" s="53">
        <f>VLOOKUP(Table18[[#This Row],[Fecha]],TBL_CalcDarwin[],46,1)</f>
        <v>3.5629999999999997</v>
      </c>
      <c r="I43" s="53">
        <f>VLOOKUP(Table18[[#This Row],[Fecha]],TBL_CalcDarwin[],47,1)</f>
        <v>2.9489999999999998</v>
      </c>
      <c r="J43" s="73">
        <f>VLOOKUP(Table18[[#This Row],[Fecha]],TBL_CalcDarwin[],44,1)</f>
        <v>3</v>
      </c>
      <c r="K43" s="73">
        <f>VLOOKUP(Table18[[#This Row],[Fecha]],TBL_CalcDarwin[],45,1)</f>
        <v>3</v>
      </c>
      <c r="L43" s="53">
        <f>Table18[[#This Row],[MW Proyectada (Barra A)]]+Table18[[#This Row],[MW Proyectada (Barra B)]]</f>
        <v>6.5119999999999996</v>
      </c>
    </row>
    <row r="44" spans="1:12" x14ac:dyDescent="0.25">
      <c r="A44" s="105">
        <f t="shared" si="2"/>
        <v>45583.854166666766</v>
      </c>
      <c r="B44" s="51">
        <f t="shared" si="2"/>
        <v>0.85416666666666707</v>
      </c>
      <c r="C44" s="1">
        <f>'Plantilla Datos'!K50</f>
        <v>6.2</v>
      </c>
      <c r="F44" s="106">
        <f>(Table29[[#This Row],[Fecha]]+2)</f>
        <v>45585.854166666766</v>
      </c>
      <c r="G44" s="52">
        <f>Table29[[#This Row],[Hora]]</f>
        <v>0.85416666666666707</v>
      </c>
      <c r="H44" s="53">
        <f>VLOOKUP(Table18[[#This Row],[Fecha]],TBL_CalcDarwin[],46,1)</f>
        <v>3.5629999999999997</v>
      </c>
      <c r="I44" s="53">
        <f>VLOOKUP(Table18[[#This Row],[Fecha]],TBL_CalcDarwin[],47,1)</f>
        <v>2.9489999999999998</v>
      </c>
      <c r="J44" s="73">
        <f>VLOOKUP(Table18[[#This Row],[Fecha]],TBL_CalcDarwin[],44,1)</f>
        <v>3</v>
      </c>
      <c r="K44" s="73">
        <f>VLOOKUP(Table18[[#This Row],[Fecha]],TBL_CalcDarwin[],45,1)</f>
        <v>3</v>
      </c>
      <c r="L44" s="53">
        <f>Table18[[#This Row],[MW Proyectada (Barra A)]]+Table18[[#This Row],[MW Proyectada (Barra B)]]</f>
        <v>6.5119999999999996</v>
      </c>
    </row>
    <row r="45" spans="1:12" x14ac:dyDescent="0.25">
      <c r="A45" s="105">
        <f t="shared" si="2"/>
        <v>45583.875000000102</v>
      </c>
      <c r="B45" s="51">
        <f t="shared" si="2"/>
        <v>0.87500000000000044</v>
      </c>
      <c r="C45" s="1">
        <f>'Plantilla Datos'!K51</f>
        <v>9.6</v>
      </c>
      <c r="F45" s="106">
        <f>(Table29[[#This Row],[Fecha]]+2)</f>
        <v>45585.875000000102</v>
      </c>
      <c r="G45" s="52">
        <f>Table29[[#This Row],[Hora]]</f>
        <v>0.87500000000000044</v>
      </c>
      <c r="H45" s="53">
        <f>VLOOKUP(Table18[[#This Row],[Fecha]],TBL_CalcDarwin[],46,1)</f>
        <v>3.5629999999999997</v>
      </c>
      <c r="I45" s="53">
        <f>VLOOKUP(Table18[[#This Row],[Fecha]],TBL_CalcDarwin[],47,1)</f>
        <v>2.9489999999999998</v>
      </c>
      <c r="J45" s="73">
        <f>VLOOKUP(Table18[[#This Row],[Fecha]],TBL_CalcDarwin[],44,1)</f>
        <v>3</v>
      </c>
      <c r="K45" s="73">
        <f>VLOOKUP(Table18[[#This Row],[Fecha]],TBL_CalcDarwin[],45,1)</f>
        <v>3</v>
      </c>
      <c r="L45" s="53">
        <f>Table18[[#This Row],[MW Proyectada (Barra A)]]+Table18[[#This Row],[MW Proyectada (Barra B)]]</f>
        <v>6.5119999999999996</v>
      </c>
    </row>
    <row r="46" spans="1:12" x14ac:dyDescent="0.25">
      <c r="A46" s="105">
        <f t="shared" si="2"/>
        <v>45583.895833333438</v>
      </c>
      <c r="B46" s="51">
        <f t="shared" si="2"/>
        <v>0.89583333333333381</v>
      </c>
      <c r="C46" s="1">
        <f>'Plantilla Datos'!K52</f>
        <v>7.8</v>
      </c>
      <c r="F46" s="106">
        <f>(Table29[[#This Row],[Fecha]]+2)</f>
        <v>45585.895833333438</v>
      </c>
      <c r="G46" s="52">
        <f>Table29[[#This Row],[Hora]]</f>
        <v>0.89583333333333381</v>
      </c>
      <c r="H46" s="53">
        <f>VLOOKUP(Table18[[#This Row],[Fecha]],TBL_CalcDarwin[],46,1)</f>
        <v>3.5629999999999997</v>
      </c>
      <c r="I46" s="53">
        <f>VLOOKUP(Table18[[#This Row],[Fecha]],TBL_CalcDarwin[],47,1)</f>
        <v>2.9489999999999998</v>
      </c>
      <c r="J46" s="73">
        <f>VLOOKUP(Table18[[#This Row],[Fecha]],TBL_CalcDarwin[],44,1)</f>
        <v>3</v>
      </c>
      <c r="K46" s="73">
        <f>VLOOKUP(Table18[[#This Row],[Fecha]],TBL_CalcDarwin[],45,1)</f>
        <v>3</v>
      </c>
      <c r="L46" s="53">
        <f>Table18[[#This Row],[MW Proyectada (Barra A)]]+Table18[[#This Row],[MW Proyectada (Barra B)]]</f>
        <v>6.5119999999999996</v>
      </c>
    </row>
    <row r="47" spans="1:12" x14ac:dyDescent="0.25">
      <c r="A47" s="105">
        <f t="shared" si="2"/>
        <v>45583.916666666773</v>
      </c>
      <c r="B47" s="51">
        <f t="shared" si="2"/>
        <v>0.91666666666666718</v>
      </c>
      <c r="C47" s="1">
        <f>'Plantilla Datos'!K53</f>
        <v>8.6999999999999993</v>
      </c>
      <c r="F47" s="106">
        <f>(Table29[[#This Row],[Fecha]]+2)</f>
        <v>45585.916666666773</v>
      </c>
      <c r="G47" s="52">
        <f>Table29[[#This Row],[Hora]]</f>
        <v>0.91666666666666718</v>
      </c>
      <c r="H47" s="53">
        <f>VLOOKUP(Table18[[#This Row],[Fecha]],TBL_CalcDarwin[],46,1)</f>
        <v>3.5629999999999997</v>
      </c>
      <c r="I47" s="53">
        <f>VLOOKUP(Table18[[#This Row],[Fecha]],TBL_CalcDarwin[],47,1)</f>
        <v>2.9489999999999998</v>
      </c>
      <c r="J47" s="73">
        <f>VLOOKUP(Table18[[#This Row],[Fecha]],TBL_CalcDarwin[],44,1)</f>
        <v>3</v>
      </c>
      <c r="K47" s="73">
        <f>VLOOKUP(Table18[[#This Row],[Fecha]],TBL_CalcDarwin[],45,1)</f>
        <v>3</v>
      </c>
      <c r="L47" s="53">
        <f>Table18[[#This Row],[MW Proyectada (Barra A)]]+Table18[[#This Row],[MW Proyectada (Barra B)]]</f>
        <v>6.5119999999999996</v>
      </c>
    </row>
    <row r="48" spans="1:12" x14ac:dyDescent="0.25">
      <c r="A48" s="105">
        <f t="shared" si="2"/>
        <v>45583.937500000109</v>
      </c>
      <c r="B48" s="51">
        <f t="shared" si="2"/>
        <v>0.93750000000000056</v>
      </c>
      <c r="C48" s="1">
        <f>'Plantilla Datos'!K54</f>
        <v>6.5</v>
      </c>
      <c r="F48" s="106">
        <f>(Table29[[#This Row],[Fecha]]+2)</f>
        <v>45585.937500000109</v>
      </c>
      <c r="G48" s="52">
        <f>Table29[[#This Row],[Hora]]</f>
        <v>0.93750000000000056</v>
      </c>
      <c r="H48" s="53">
        <f>VLOOKUP(Table18[[#This Row],[Fecha]],TBL_CalcDarwin[],46,1)</f>
        <v>3.5629999999999997</v>
      </c>
      <c r="I48" s="53">
        <f>VLOOKUP(Table18[[#This Row],[Fecha]],TBL_CalcDarwin[],47,1)</f>
        <v>2.9489999999999998</v>
      </c>
      <c r="J48" s="73">
        <f>VLOOKUP(Table18[[#This Row],[Fecha]],TBL_CalcDarwin[],44,1)</f>
        <v>3</v>
      </c>
      <c r="K48" s="73">
        <f>VLOOKUP(Table18[[#This Row],[Fecha]],TBL_CalcDarwin[],45,1)</f>
        <v>3</v>
      </c>
      <c r="L48" s="53">
        <f>Table18[[#This Row],[MW Proyectada (Barra A)]]+Table18[[#This Row],[MW Proyectada (Barra B)]]</f>
        <v>6.5119999999999996</v>
      </c>
    </row>
    <row r="49" spans="1:12" x14ac:dyDescent="0.25">
      <c r="A49" s="105">
        <f t="shared" si="2"/>
        <v>45583.958333333445</v>
      </c>
      <c r="B49" s="51">
        <f t="shared" si="2"/>
        <v>0.95833333333333393</v>
      </c>
      <c r="C49" s="1">
        <f>'Plantilla Datos'!K55</f>
        <v>8.4</v>
      </c>
      <c r="F49" s="106">
        <f>(Table29[[#This Row],[Fecha]]+2)</f>
        <v>45585.958333333445</v>
      </c>
      <c r="G49" s="52">
        <f>Table29[[#This Row],[Hora]]</f>
        <v>0.95833333333333393</v>
      </c>
      <c r="H49" s="53">
        <f>VLOOKUP(Table18[[#This Row],[Fecha]],TBL_CalcDarwin[],46,1)</f>
        <v>3.5629999999999997</v>
      </c>
      <c r="I49" s="53">
        <f>VLOOKUP(Table18[[#This Row],[Fecha]],TBL_CalcDarwin[],47,1)</f>
        <v>2.9489999999999998</v>
      </c>
      <c r="J49" s="73">
        <f>VLOOKUP(Table18[[#This Row],[Fecha]],TBL_CalcDarwin[],44,1)</f>
        <v>3</v>
      </c>
      <c r="K49" s="73">
        <f>VLOOKUP(Table18[[#This Row],[Fecha]],TBL_CalcDarwin[],45,1)</f>
        <v>3</v>
      </c>
      <c r="L49" s="53">
        <f>Table18[[#This Row],[MW Proyectada (Barra A)]]+Table18[[#This Row],[MW Proyectada (Barra B)]]</f>
        <v>6.5119999999999996</v>
      </c>
    </row>
    <row r="50" spans="1:12" x14ac:dyDescent="0.25">
      <c r="A50" s="105">
        <f t="shared" si="2"/>
        <v>45583.979166666781</v>
      </c>
      <c r="B50" s="51">
        <f t="shared" si="2"/>
        <v>0.9791666666666673</v>
      </c>
      <c r="C50" s="1">
        <f>'Plantilla Datos'!K56</f>
        <v>7.5</v>
      </c>
      <c r="F50" s="106">
        <f>(Table29[[#This Row],[Fecha]]+2)</f>
        <v>45585.979166666781</v>
      </c>
      <c r="G50" s="52">
        <f>Table29[[#This Row],[Hora]]</f>
        <v>0.9791666666666673</v>
      </c>
      <c r="H50" s="53">
        <f>VLOOKUP(Table18[[#This Row],[Fecha]],TBL_CalcDarwin[],46,1)</f>
        <v>3.5629999999999997</v>
      </c>
      <c r="I50" s="53">
        <f>VLOOKUP(Table18[[#This Row],[Fecha]],TBL_CalcDarwin[],47,1)</f>
        <v>2.9489999999999998</v>
      </c>
      <c r="J50" s="73">
        <f>VLOOKUP(Table18[[#This Row],[Fecha]],TBL_CalcDarwin[],44,1)</f>
        <v>3</v>
      </c>
      <c r="K50" s="73">
        <f>VLOOKUP(Table18[[#This Row],[Fecha]],TBL_CalcDarwin[],45,1)</f>
        <v>3</v>
      </c>
      <c r="L50" s="53">
        <f>Table18[[#This Row],[MW Proyectada (Barra A)]]+Table18[[#This Row],[MW Proyectada (Barra B)]]</f>
        <v>6.5119999999999996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customProperties>
    <customPr name="_pios_id" r:id="rId2"/>
  </customProperties>
  <tableParts count="2">
    <tablePart r:id="rId3"/>
    <tablePart r:id="rId4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100" t="str">
        <f>"PROYECCIÓN DE GENERACIÓN PLOM "&amp;TEXT(B3,"DD MMM")&amp;" - "&amp;TEXT(B3+9,"DD MMM")</f>
        <v>PROYECCIÓN DE GENERACIÓN PLOM 18 Oct - 27 Oct</v>
      </c>
      <c r="C1" s="98"/>
      <c r="D1" s="98"/>
      <c r="E1" s="99"/>
      <c r="F1" s="101"/>
    </row>
    <row r="2" spans="2:19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  <c r="L2" s="72" t="s">
        <v>188</v>
      </c>
      <c r="M2" s="72" t="s">
        <v>189</v>
      </c>
      <c r="N2" s="72" t="s">
        <v>190</v>
      </c>
    </row>
    <row r="3" spans="2:19" x14ac:dyDescent="0.25">
      <c r="B3" s="91">
        <f>'Plantilla Datos'!E3+'Plantilla Datos'!E4</f>
        <v>45583.083333333336</v>
      </c>
      <c r="C3" s="52">
        <f>'Plantilla Datos'!E4</f>
        <v>8.3333333333333329E-2</v>
      </c>
      <c r="D3" s="92">
        <f>Table110[[#This Row],[Fecha]]</f>
        <v>45583.083333333336</v>
      </c>
      <c r="E3" s="53" t="e">
        <f>VLOOKUP(Table110[[#This Row],[FECHA /HORA]],TBL_CalcDarwin[],7,0)</f>
        <v>#N/A</v>
      </c>
      <c r="F3" s="53" t="e">
        <f>VLOOKUP(Table110[[#This Row],[FECHA /HORA]],TBL_CalcDarwin[],42,0)</f>
        <v>#N/A</v>
      </c>
      <c r="G3" s="53" t="e">
        <f>VLOOKUP(Table110[[#This Row],[FECHA /HORA]],TBL_CalcDarwin[],43,0)</f>
        <v>#N/A</v>
      </c>
      <c r="H3" s="53" t="e">
        <f>VLOOKUP(Table110[[#This Row],[FECHA /HORA]],TBL_CalcDarwin[],40,0)</f>
        <v>#N/A</v>
      </c>
      <c r="I3" s="53" t="e">
        <f>VLOOKUP(Table110[[#This Row],[FECHA /HORA]],TBL_CalcDarwin[],41,0)</f>
        <v>#N/A</v>
      </c>
      <c r="J3" s="53" t="e">
        <f>Table110[[#This Row],[MW Proyectada (Barra A)]]+Table110[[#This Row],[MW Proyectada (Barra B)]]</f>
        <v>#N/A</v>
      </c>
      <c r="L3" s="53" t="e">
        <f>M3+N3</f>
        <v>#N/A</v>
      </c>
      <c r="M3" s="53" t="e">
        <f>IF(Table110[[#This Row],[TOTAL MW]]&lt;165,Table110[[#This Row],[MW Proyectada (Barra A)]],Table110[[#This Row],[MW Proyectada (Barra A)]]*165/Table110[[#This Row],[TOTAL MW]])</f>
        <v>#N/A</v>
      </c>
      <c r="N3" s="53" t="e">
        <f>IF(Table110[[#This Row],[TOTAL MW]]&lt;165,Table110[[#This Row],[MW Proyectada (Barra B)]],Table110[[#This Row],[MW Proyectada (Barra B)]]*165/Table110[[#This Row],[TOTAL MW]])</f>
        <v>#N/A</v>
      </c>
      <c r="P3" s="90"/>
      <c r="Q3" s="90"/>
    </row>
    <row r="4" spans="2:19" x14ac:dyDescent="0.25">
      <c r="B4" s="91">
        <f>B3+TIME(1,0,0)</f>
        <v>45583.125</v>
      </c>
      <c r="C4" s="52">
        <f>C3+TIME(1,0,0)</f>
        <v>0.125</v>
      </c>
      <c r="D4" s="92">
        <f>Table110[[#This Row],[Fecha]]</f>
        <v>45583.125</v>
      </c>
      <c r="E4" s="53" t="e">
        <f>VLOOKUP(Table110[[#This Row],[FECHA /HORA]],TBL_CalcDarwin[],7,0)</f>
        <v>#N/A</v>
      </c>
      <c r="F4" s="53" t="e">
        <f>VLOOKUP(Table110[[#This Row],[FECHA /HORA]],TBL_CalcDarwin[],42,0)</f>
        <v>#N/A</v>
      </c>
      <c r="G4" s="53" t="e">
        <f>VLOOKUP(Table110[[#This Row],[FECHA /HORA]],TBL_CalcDarwin[],43,0)</f>
        <v>#N/A</v>
      </c>
      <c r="H4" s="53" t="e">
        <f>VLOOKUP(Table110[[#This Row],[FECHA /HORA]],TBL_CalcDarwin[],40,0)</f>
        <v>#N/A</v>
      </c>
      <c r="I4" s="53" t="e">
        <f>VLOOKUP(Table110[[#This Row],[FECHA /HORA]],TBL_CalcDarwin[],41,0)</f>
        <v>#N/A</v>
      </c>
      <c r="J4" s="53" t="e">
        <f>Table110[[#This Row],[MW Proyectada (Barra A)]]+Table110[[#This Row],[MW Proyectada (Barra B)]]</f>
        <v>#N/A</v>
      </c>
      <c r="L4" s="53" t="e">
        <f t="shared" ref="L4:L67" si="0">M4+N4</f>
        <v>#N/A</v>
      </c>
      <c r="M4" s="53" t="e">
        <f>IF(Table110[[#This Row],[TOTAL MW]]&lt;165,Table110[[#This Row],[MW Proyectada (Barra A)]],Table110[[#This Row],[MW Proyectada (Barra A)]]*165/Table110[[#This Row],[TOTAL MW]])</f>
        <v>#N/A</v>
      </c>
      <c r="N4" s="53" t="e">
        <f>IF(Table110[[#This Row],[TOTAL MW]]&lt;165,Table110[[#This Row],[MW Proyectada (Barra B)]],Table110[[#This Row],[MW Proyectada (Barra B)]]*165/Table110[[#This Row],[TOTAL MW]])</f>
        <v>#N/A</v>
      </c>
      <c r="P4" s="90"/>
      <c r="Q4" s="90"/>
    </row>
    <row r="5" spans="2:19" x14ac:dyDescent="0.25">
      <c r="B5" s="91">
        <f t="shared" ref="B5:B68" si="1">B4+TIME(1,0,0)</f>
        <v>45583.166666666664</v>
      </c>
      <c r="C5" s="52">
        <f t="shared" ref="C5:C68" si="2">C4+TIME(1,0,0)</f>
        <v>0.16666666666666666</v>
      </c>
      <c r="D5" s="92">
        <f>Table110[[#This Row],[Fecha]]</f>
        <v>45583.166666666664</v>
      </c>
      <c r="E5" s="53" t="e">
        <f>VLOOKUP(Table110[[#This Row],[FECHA /HORA]],TBL_CalcDarwin[],7,0)</f>
        <v>#N/A</v>
      </c>
      <c r="F5" s="53" t="e">
        <f>VLOOKUP(Table110[[#This Row],[FECHA /HORA]],TBL_CalcDarwin[],42,0)</f>
        <v>#N/A</v>
      </c>
      <c r="G5" s="53" t="e">
        <f>VLOOKUP(Table110[[#This Row],[FECHA /HORA]],TBL_CalcDarwin[],43,0)</f>
        <v>#N/A</v>
      </c>
      <c r="H5" s="53" t="e">
        <f>VLOOKUP(Table110[[#This Row],[FECHA /HORA]],TBL_CalcDarwin[],40,0)</f>
        <v>#N/A</v>
      </c>
      <c r="I5" s="53" t="e">
        <f>VLOOKUP(Table110[[#This Row],[FECHA /HORA]],TBL_CalcDarwin[],41,0)</f>
        <v>#N/A</v>
      </c>
      <c r="J5" s="53" t="e">
        <f>Table110[[#This Row],[MW Proyectada (Barra A)]]+Table110[[#This Row],[MW Proyectada (Barra B)]]</f>
        <v>#N/A</v>
      </c>
      <c r="L5" s="53" t="e">
        <f t="shared" si="0"/>
        <v>#N/A</v>
      </c>
      <c r="M5" s="53" t="e">
        <f>IF(Table110[[#This Row],[TOTAL MW]]&lt;165,Table110[[#This Row],[MW Proyectada (Barra A)]],Table110[[#This Row],[MW Proyectada (Barra A)]]*165/Table110[[#This Row],[TOTAL MW]])</f>
        <v>#N/A</v>
      </c>
      <c r="N5" s="53" t="e">
        <f>IF(Table110[[#This Row],[TOTAL MW]]&lt;165,Table110[[#This Row],[MW Proyectada (Barra B)]],Table110[[#This Row],[MW Proyectada (Barra B)]]*165/Table110[[#This Row],[TOTAL MW]])</f>
        <v>#N/A</v>
      </c>
      <c r="P5" s="90"/>
      <c r="Q5" s="90"/>
    </row>
    <row r="6" spans="2:19" x14ac:dyDescent="0.25">
      <c r="B6" s="91">
        <f t="shared" si="1"/>
        <v>45583.208333333328</v>
      </c>
      <c r="C6" s="52">
        <f t="shared" si="2"/>
        <v>0.20833333333333331</v>
      </c>
      <c r="D6" s="92">
        <f>Table110[[#This Row],[Fecha]]</f>
        <v>45583.208333333328</v>
      </c>
      <c r="E6" s="53" t="e">
        <f>VLOOKUP(Table110[[#This Row],[FECHA /HORA]],TBL_CalcDarwin[],7,0)</f>
        <v>#N/A</v>
      </c>
      <c r="F6" s="53" t="e">
        <f>VLOOKUP(Table110[[#This Row],[FECHA /HORA]],TBL_CalcDarwin[],42,0)</f>
        <v>#N/A</v>
      </c>
      <c r="G6" s="53" t="e">
        <f>VLOOKUP(Table110[[#This Row],[FECHA /HORA]],TBL_CalcDarwin[],43,0)</f>
        <v>#N/A</v>
      </c>
      <c r="H6" s="53" t="e">
        <f>VLOOKUP(Table110[[#This Row],[FECHA /HORA]],TBL_CalcDarwin[],40,0)</f>
        <v>#N/A</v>
      </c>
      <c r="I6" s="53" t="e">
        <f>VLOOKUP(Table110[[#This Row],[FECHA /HORA]],TBL_CalcDarwin[],41,0)</f>
        <v>#N/A</v>
      </c>
      <c r="J6" s="53" t="e">
        <f>Table110[[#This Row],[MW Proyectada (Barra A)]]+Table110[[#This Row],[MW Proyectada (Barra B)]]</f>
        <v>#N/A</v>
      </c>
      <c r="L6" s="53" t="e">
        <f t="shared" si="0"/>
        <v>#N/A</v>
      </c>
      <c r="M6" s="53" t="e">
        <f>IF(Table110[[#This Row],[TOTAL MW]]&lt;165,Table110[[#This Row],[MW Proyectada (Barra A)]],Table110[[#This Row],[MW Proyectada (Barra A)]]*165/Table110[[#This Row],[TOTAL MW]])</f>
        <v>#N/A</v>
      </c>
      <c r="N6" s="53" t="e">
        <f>IF(Table110[[#This Row],[TOTAL MW]]&lt;165,Table110[[#This Row],[MW Proyectada (Barra B)]],Table110[[#This Row],[MW Proyectada (Barra B)]]*165/Table110[[#This Row],[TOTAL MW]])</f>
        <v>#N/A</v>
      </c>
      <c r="P6" s="90"/>
      <c r="Q6" s="90"/>
      <c r="R6" s="93"/>
      <c r="S6" s="93"/>
    </row>
    <row r="7" spans="2:19" x14ac:dyDescent="0.25">
      <c r="B7" s="91">
        <f t="shared" si="1"/>
        <v>45583.249999999993</v>
      </c>
      <c r="C7" s="52">
        <f t="shared" si="2"/>
        <v>0.24999999999999997</v>
      </c>
      <c r="D7" s="92">
        <f>Table110[[#This Row],[Fecha]]</f>
        <v>45583.249999999993</v>
      </c>
      <c r="E7" s="53" t="e">
        <f>VLOOKUP(Table110[[#This Row],[FECHA /HORA]],TBL_CalcDarwin[],7,0)</f>
        <v>#N/A</v>
      </c>
      <c r="F7" s="53" t="e">
        <f>VLOOKUP(Table110[[#This Row],[FECHA /HORA]],TBL_CalcDarwin[],42,0)</f>
        <v>#N/A</v>
      </c>
      <c r="G7" s="53" t="e">
        <f>VLOOKUP(Table110[[#This Row],[FECHA /HORA]],TBL_CalcDarwin[],43,0)</f>
        <v>#N/A</v>
      </c>
      <c r="H7" s="53" t="e">
        <f>VLOOKUP(Table110[[#This Row],[FECHA /HORA]],TBL_CalcDarwin[],40,0)</f>
        <v>#N/A</v>
      </c>
      <c r="I7" s="53" t="e">
        <f>VLOOKUP(Table110[[#This Row],[FECHA /HORA]],TBL_CalcDarwin[],41,0)</f>
        <v>#N/A</v>
      </c>
      <c r="J7" s="53" t="e">
        <f>Table110[[#This Row],[MW Proyectada (Barra A)]]+Table110[[#This Row],[MW Proyectada (Barra B)]]</f>
        <v>#N/A</v>
      </c>
      <c r="L7" s="53" t="e">
        <f t="shared" si="0"/>
        <v>#N/A</v>
      </c>
      <c r="M7" s="53" t="e">
        <f>IF(Table110[[#This Row],[TOTAL MW]]&lt;165,Table110[[#This Row],[MW Proyectada (Barra A)]],Table110[[#This Row],[MW Proyectada (Barra A)]]*165/Table110[[#This Row],[TOTAL MW]])</f>
        <v>#N/A</v>
      </c>
      <c r="N7" s="53" t="e">
        <f>IF(Table110[[#This Row],[TOTAL MW]]&lt;165,Table110[[#This Row],[MW Proyectada (Barra B)]],Table110[[#This Row],[MW Proyectada (Barra B)]]*165/Table110[[#This Row],[TOTAL MW]])</f>
        <v>#N/A</v>
      </c>
      <c r="P7" s="90"/>
      <c r="Q7" s="90"/>
      <c r="R7" s="93"/>
      <c r="S7" s="93"/>
    </row>
    <row r="8" spans="2:19" x14ac:dyDescent="0.25">
      <c r="B8" s="91">
        <f t="shared" si="1"/>
        <v>45583.291666666657</v>
      </c>
      <c r="C8" s="52">
        <f t="shared" si="2"/>
        <v>0.29166666666666663</v>
      </c>
      <c r="D8" s="92">
        <f>Table110[[#This Row],[Fecha]]</f>
        <v>45583.291666666657</v>
      </c>
      <c r="E8" s="53" t="e">
        <f>VLOOKUP(Table110[[#This Row],[FECHA /HORA]],TBL_CalcDarwin[],7,0)</f>
        <v>#N/A</v>
      </c>
      <c r="F8" s="53" t="e">
        <f>VLOOKUP(Table110[[#This Row],[FECHA /HORA]],TBL_CalcDarwin[],42,0)</f>
        <v>#N/A</v>
      </c>
      <c r="G8" s="53" t="e">
        <f>VLOOKUP(Table110[[#This Row],[FECHA /HORA]],TBL_CalcDarwin[],43,0)</f>
        <v>#N/A</v>
      </c>
      <c r="H8" s="53" t="e">
        <f>VLOOKUP(Table110[[#This Row],[FECHA /HORA]],TBL_CalcDarwin[],40,0)</f>
        <v>#N/A</v>
      </c>
      <c r="I8" s="53" t="e">
        <f>VLOOKUP(Table110[[#This Row],[FECHA /HORA]],TBL_CalcDarwin[],41,0)</f>
        <v>#N/A</v>
      </c>
      <c r="J8" s="53" t="e">
        <f>Table110[[#This Row],[MW Proyectada (Barra A)]]+Table110[[#This Row],[MW Proyectada (Barra B)]]</f>
        <v>#N/A</v>
      </c>
      <c r="L8" s="53" t="e">
        <f t="shared" si="0"/>
        <v>#N/A</v>
      </c>
      <c r="M8" s="53" t="e">
        <f>IF(Table110[[#This Row],[TOTAL MW]]&lt;165,Table110[[#This Row],[MW Proyectada (Barra A)]],Table110[[#This Row],[MW Proyectada (Barra A)]]*165/Table110[[#This Row],[TOTAL MW]])</f>
        <v>#N/A</v>
      </c>
      <c r="N8" s="53" t="e">
        <f>IF(Table110[[#This Row],[TOTAL MW]]&lt;165,Table110[[#This Row],[MW Proyectada (Barra B)]],Table110[[#This Row],[MW Proyectada (Barra B)]]*165/Table110[[#This Row],[TOTAL MW]])</f>
        <v>#N/A</v>
      </c>
      <c r="P8" s="90"/>
      <c r="Q8" s="90"/>
      <c r="R8" s="93"/>
      <c r="S8" s="93"/>
    </row>
    <row r="9" spans="2:19" x14ac:dyDescent="0.25">
      <c r="B9" s="91">
        <f t="shared" si="1"/>
        <v>45583.333333333321</v>
      </c>
      <c r="C9" s="52">
        <f t="shared" si="2"/>
        <v>0.33333333333333331</v>
      </c>
      <c r="D9" s="92">
        <f>Table110[[#This Row],[Fecha]]</f>
        <v>45583.333333333321</v>
      </c>
      <c r="E9" s="53" t="e">
        <f>VLOOKUP(Table110[[#This Row],[FECHA /HORA]],TBL_CalcDarwin[],7,0)</f>
        <v>#N/A</v>
      </c>
      <c r="F9" s="53" t="e">
        <f>VLOOKUP(Table110[[#This Row],[FECHA /HORA]],TBL_CalcDarwin[],42,0)</f>
        <v>#N/A</v>
      </c>
      <c r="G9" s="53" t="e">
        <f>VLOOKUP(Table110[[#This Row],[FECHA /HORA]],TBL_CalcDarwin[],43,0)</f>
        <v>#N/A</v>
      </c>
      <c r="H9" s="53" t="e">
        <f>VLOOKUP(Table110[[#This Row],[FECHA /HORA]],TBL_CalcDarwin[],40,0)</f>
        <v>#N/A</v>
      </c>
      <c r="I9" s="53" t="e">
        <f>VLOOKUP(Table110[[#This Row],[FECHA /HORA]],TBL_CalcDarwin[],41,0)</f>
        <v>#N/A</v>
      </c>
      <c r="J9" s="53" t="e">
        <f>Table110[[#This Row],[MW Proyectada (Barra A)]]+Table110[[#This Row],[MW Proyectada (Barra B)]]</f>
        <v>#N/A</v>
      </c>
      <c r="L9" s="53" t="e">
        <f t="shared" si="0"/>
        <v>#N/A</v>
      </c>
      <c r="M9" s="53" t="e">
        <f>IF(Table110[[#This Row],[TOTAL MW]]&lt;165,Table110[[#This Row],[MW Proyectada (Barra A)]],Table110[[#This Row],[MW Proyectada (Barra A)]]*165/Table110[[#This Row],[TOTAL MW]])</f>
        <v>#N/A</v>
      </c>
      <c r="N9" s="53" t="e">
        <f>IF(Table110[[#This Row],[TOTAL MW]]&lt;165,Table110[[#This Row],[MW Proyectada (Barra B)]],Table110[[#This Row],[MW Proyectada (Barra B)]]*165/Table110[[#This Row],[TOTAL MW]])</f>
        <v>#N/A</v>
      </c>
      <c r="P9" s="90"/>
      <c r="Q9" s="90"/>
      <c r="R9" s="93"/>
      <c r="S9" s="93"/>
    </row>
    <row r="10" spans="2:19" x14ac:dyDescent="0.25">
      <c r="B10" s="91">
        <f t="shared" si="1"/>
        <v>45583.374999999985</v>
      </c>
      <c r="C10" s="52">
        <f t="shared" si="2"/>
        <v>0.375</v>
      </c>
      <c r="D10" s="92">
        <f>Table110[[#This Row],[Fecha]]</f>
        <v>45583.374999999985</v>
      </c>
      <c r="E10" s="53" t="e">
        <f>VLOOKUP(Table110[[#This Row],[FECHA /HORA]],TBL_CalcDarwin[],7,0)</f>
        <v>#N/A</v>
      </c>
      <c r="F10" s="53" t="e">
        <f>VLOOKUP(Table110[[#This Row],[FECHA /HORA]],TBL_CalcDarwin[],42,0)</f>
        <v>#N/A</v>
      </c>
      <c r="G10" s="53" t="e">
        <f>VLOOKUP(Table110[[#This Row],[FECHA /HORA]],TBL_CalcDarwin[],43,0)</f>
        <v>#N/A</v>
      </c>
      <c r="H10" s="53" t="e">
        <f>VLOOKUP(Table110[[#This Row],[FECHA /HORA]],TBL_CalcDarwin[],40,0)</f>
        <v>#N/A</v>
      </c>
      <c r="I10" s="53" t="e">
        <f>VLOOKUP(Table110[[#This Row],[FECHA /HORA]],TBL_CalcDarwin[],41,0)</f>
        <v>#N/A</v>
      </c>
      <c r="J10" s="53" t="e">
        <f>Table110[[#This Row],[MW Proyectada (Barra A)]]+Table110[[#This Row],[MW Proyectada (Barra B)]]</f>
        <v>#N/A</v>
      </c>
      <c r="L10" s="53" t="e">
        <f t="shared" si="0"/>
        <v>#N/A</v>
      </c>
      <c r="M10" s="53" t="e">
        <f>IF(Table110[[#This Row],[TOTAL MW]]&lt;165,Table110[[#This Row],[MW Proyectada (Barra A)]],Table110[[#This Row],[MW Proyectada (Barra A)]]*165/Table110[[#This Row],[TOTAL MW]])</f>
        <v>#N/A</v>
      </c>
      <c r="N10" s="53" t="e">
        <f>IF(Table110[[#This Row],[TOTAL MW]]&lt;165,Table110[[#This Row],[MW Proyectada (Barra B)]],Table110[[#This Row],[MW Proyectada (Barra B)]]*165/Table110[[#This Row],[TOTAL MW]])</f>
        <v>#N/A</v>
      </c>
      <c r="P10" s="90"/>
      <c r="Q10" s="90"/>
      <c r="R10" s="93"/>
      <c r="S10" s="93"/>
    </row>
    <row r="11" spans="2:19" x14ac:dyDescent="0.25">
      <c r="B11" s="91">
        <f t="shared" si="1"/>
        <v>45583.41666666665</v>
      </c>
      <c r="C11" s="52">
        <f t="shared" si="2"/>
        <v>0.41666666666666669</v>
      </c>
      <c r="D11" s="92">
        <f>Table110[[#This Row],[Fecha]]</f>
        <v>45583.41666666665</v>
      </c>
      <c r="E11" s="53" t="e">
        <f>VLOOKUP(Table110[[#This Row],[FECHA /HORA]],TBL_CalcDarwin[],7,0)</f>
        <v>#N/A</v>
      </c>
      <c r="F11" s="53" t="e">
        <f>VLOOKUP(Table110[[#This Row],[FECHA /HORA]],TBL_CalcDarwin[],42,0)</f>
        <v>#N/A</v>
      </c>
      <c r="G11" s="53" t="e">
        <f>VLOOKUP(Table110[[#This Row],[FECHA /HORA]],TBL_CalcDarwin[],43,0)</f>
        <v>#N/A</v>
      </c>
      <c r="H11" s="53" t="e">
        <f>VLOOKUP(Table110[[#This Row],[FECHA /HORA]],TBL_CalcDarwin[],40,0)</f>
        <v>#N/A</v>
      </c>
      <c r="I11" s="53" t="e">
        <f>VLOOKUP(Table110[[#This Row],[FECHA /HORA]],TBL_CalcDarwin[],41,0)</f>
        <v>#N/A</v>
      </c>
      <c r="J11" s="53" t="e">
        <f>Table110[[#This Row],[MW Proyectada (Barra A)]]+Table110[[#This Row],[MW Proyectada (Barra B)]]</f>
        <v>#N/A</v>
      </c>
      <c r="L11" s="53" t="e">
        <f t="shared" si="0"/>
        <v>#N/A</v>
      </c>
      <c r="M11" s="53" t="e">
        <f>IF(Table110[[#This Row],[TOTAL MW]]&lt;165,Table110[[#This Row],[MW Proyectada (Barra A)]],Table110[[#This Row],[MW Proyectada (Barra A)]]*165/Table110[[#This Row],[TOTAL MW]])</f>
        <v>#N/A</v>
      </c>
      <c r="N11" s="53" t="e">
        <f>IF(Table110[[#This Row],[TOTAL MW]]&lt;165,Table110[[#This Row],[MW Proyectada (Barra B)]],Table110[[#This Row],[MW Proyectada (Barra B)]]*165/Table110[[#This Row],[TOTAL MW]])</f>
        <v>#N/A</v>
      </c>
      <c r="P11" s="90"/>
      <c r="Q11" s="90"/>
      <c r="R11" s="93"/>
      <c r="S11" s="93"/>
    </row>
    <row r="12" spans="2:19" x14ac:dyDescent="0.25">
      <c r="B12" s="91">
        <f t="shared" si="1"/>
        <v>45583.458333333314</v>
      </c>
      <c r="C12" s="52">
        <f t="shared" si="2"/>
        <v>0.45833333333333337</v>
      </c>
      <c r="D12" s="92">
        <f>Table110[[#This Row],[Fecha]]</f>
        <v>45583.458333333314</v>
      </c>
      <c r="E12" s="53" t="e">
        <f>VLOOKUP(Table110[[#This Row],[FECHA /HORA]],TBL_CalcDarwin[],7,0)</f>
        <v>#N/A</v>
      </c>
      <c r="F12" s="53" t="e">
        <f>VLOOKUP(Table110[[#This Row],[FECHA /HORA]],TBL_CalcDarwin[],42,0)</f>
        <v>#N/A</v>
      </c>
      <c r="G12" s="53" t="e">
        <f>VLOOKUP(Table110[[#This Row],[FECHA /HORA]],TBL_CalcDarwin[],43,0)</f>
        <v>#N/A</v>
      </c>
      <c r="H12" s="53" t="e">
        <f>VLOOKUP(Table110[[#This Row],[FECHA /HORA]],TBL_CalcDarwin[],40,0)</f>
        <v>#N/A</v>
      </c>
      <c r="I12" s="53" t="e">
        <f>VLOOKUP(Table110[[#This Row],[FECHA /HORA]],TBL_CalcDarwin[],41,0)</f>
        <v>#N/A</v>
      </c>
      <c r="J12" s="53" t="e">
        <f>Table110[[#This Row],[MW Proyectada (Barra A)]]+Table110[[#This Row],[MW Proyectada (Barra B)]]</f>
        <v>#N/A</v>
      </c>
      <c r="L12" s="53" t="e">
        <f t="shared" si="0"/>
        <v>#N/A</v>
      </c>
      <c r="M12" s="53" t="e">
        <f>IF(Table110[[#This Row],[TOTAL MW]]&lt;165,Table110[[#This Row],[MW Proyectada (Barra A)]],Table110[[#This Row],[MW Proyectada (Barra A)]]*165/Table110[[#This Row],[TOTAL MW]])</f>
        <v>#N/A</v>
      </c>
      <c r="N12" s="53" t="e">
        <f>IF(Table110[[#This Row],[TOTAL MW]]&lt;165,Table110[[#This Row],[MW Proyectada (Barra B)]],Table110[[#This Row],[MW Proyectada (Barra B)]]*165/Table110[[#This Row],[TOTAL MW]])</f>
        <v>#N/A</v>
      </c>
      <c r="P12" s="90"/>
      <c r="Q12" s="90"/>
      <c r="R12" s="93"/>
      <c r="S12" s="93"/>
    </row>
    <row r="13" spans="2:19" x14ac:dyDescent="0.25">
      <c r="B13" s="91">
        <f t="shared" si="1"/>
        <v>45583.499999999978</v>
      </c>
      <c r="C13" s="52">
        <f t="shared" si="2"/>
        <v>0.5</v>
      </c>
      <c r="D13" s="92">
        <f>Table110[[#This Row],[Fecha]]</f>
        <v>45583.499999999978</v>
      </c>
      <c r="E13" s="53" t="e">
        <f>VLOOKUP(Table110[[#This Row],[FECHA /HORA]],TBL_CalcDarwin[],7,0)</f>
        <v>#N/A</v>
      </c>
      <c r="F13" s="53" t="e">
        <f>VLOOKUP(Table110[[#This Row],[FECHA /HORA]],TBL_CalcDarwin[],42,0)</f>
        <v>#N/A</v>
      </c>
      <c r="G13" s="53" t="e">
        <f>VLOOKUP(Table110[[#This Row],[FECHA /HORA]],TBL_CalcDarwin[],43,0)</f>
        <v>#N/A</v>
      </c>
      <c r="H13" s="53" t="e">
        <f>VLOOKUP(Table110[[#This Row],[FECHA /HORA]],TBL_CalcDarwin[],40,0)</f>
        <v>#N/A</v>
      </c>
      <c r="I13" s="53" t="e">
        <f>VLOOKUP(Table110[[#This Row],[FECHA /HORA]],TBL_CalcDarwin[],41,0)</f>
        <v>#N/A</v>
      </c>
      <c r="J13" s="53" t="e">
        <f>Table110[[#This Row],[MW Proyectada (Barra A)]]+Table110[[#This Row],[MW Proyectada (Barra B)]]</f>
        <v>#N/A</v>
      </c>
      <c r="L13" s="53" t="e">
        <f t="shared" si="0"/>
        <v>#N/A</v>
      </c>
      <c r="M13" s="53" t="e">
        <f>IF(Table110[[#This Row],[TOTAL MW]]&lt;165,Table110[[#This Row],[MW Proyectada (Barra A)]],Table110[[#This Row],[MW Proyectada (Barra A)]]*165/Table110[[#This Row],[TOTAL MW]])</f>
        <v>#N/A</v>
      </c>
      <c r="N13" s="53" t="e">
        <f>IF(Table110[[#This Row],[TOTAL MW]]&lt;165,Table110[[#This Row],[MW Proyectada (Barra B)]],Table110[[#This Row],[MW Proyectada (Barra B)]]*165/Table110[[#This Row],[TOTAL MW]])</f>
        <v>#N/A</v>
      </c>
      <c r="P13" s="90"/>
      <c r="Q13" s="90"/>
      <c r="R13" s="93"/>
      <c r="S13" s="93"/>
    </row>
    <row r="14" spans="2:19" x14ac:dyDescent="0.25">
      <c r="B14" s="91">
        <f t="shared" si="1"/>
        <v>45583.541666666642</v>
      </c>
      <c r="C14" s="52">
        <f t="shared" si="2"/>
        <v>0.54166666666666663</v>
      </c>
      <c r="D14" s="92">
        <f>Table110[[#This Row],[Fecha]]</f>
        <v>45583.541666666642</v>
      </c>
      <c r="E14" s="53" t="e">
        <f>VLOOKUP(Table110[[#This Row],[FECHA /HORA]],TBL_CalcDarwin[],7,0)</f>
        <v>#N/A</v>
      </c>
      <c r="F14" s="53" t="e">
        <f>VLOOKUP(Table110[[#This Row],[FECHA /HORA]],TBL_CalcDarwin[],42,0)</f>
        <v>#N/A</v>
      </c>
      <c r="G14" s="53" t="e">
        <f>VLOOKUP(Table110[[#This Row],[FECHA /HORA]],TBL_CalcDarwin[],43,0)</f>
        <v>#N/A</v>
      </c>
      <c r="H14" s="53" t="e">
        <f>VLOOKUP(Table110[[#This Row],[FECHA /HORA]],TBL_CalcDarwin[],40,0)</f>
        <v>#N/A</v>
      </c>
      <c r="I14" s="53" t="e">
        <f>VLOOKUP(Table110[[#This Row],[FECHA /HORA]],TBL_CalcDarwin[],41,0)</f>
        <v>#N/A</v>
      </c>
      <c r="J14" s="53" t="e">
        <f>Table110[[#This Row],[MW Proyectada (Barra A)]]+Table110[[#This Row],[MW Proyectada (Barra B)]]</f>
        <v>#N/A</v>
      </c>
      <c r="L14" s="53" t="e">
        <f t="shared" si="0"/>
        <v>#N/A</v>
      </c>
      <c r="M14" s="53" t="e">
        <f>IF(Table110[[#This Row],[TOTAL MW]]&lt;165,Table110[[#This Row],[MW Proyectada (Barra A)]],Table110[[#This Row],[MW Proyectada (Barra A)]]*165/Table110[[#This Row],[TOTAL MW]])</f>
        <v>#N/A</v>
      </c>
      <c r="N14" s="53" t="e">
        <f>IF(Table110[[#This Row],[TOTAL MW]]&lt;165,Table110[[#This Row],[MW Proyectada (Barra B)]],Table110[[#This Row],[MW Proyectada (Barra B)]]*165/Table110[[#This Row],[TOTAL MW]])</f>
        <v>#N/A</v>
      </c>
      <c r="P14" s="90"/>
      <c r="Q14" s="90"/>
      <c r="R14" s="93"/>
      <c r="S14" s="93"/>
    </row>
    <row r="15" spans="2:19" x14ac:dyDescent="0.25">
      <c r="B15" s="91">
        <f t="shared" si="1"/>
        <v>45583.583333333307</v>
      </c>
      <c r="C15" s="52">
        <f t="shared" si="2"/>
        <v>0.58333333333333326</v>
      </c>
      <c r="D15" s="92">
        <f>Table110[[#This Row],[Fecha]]</f>
        <v>45583.583333333307</v>
      </c>
      <c r="E15" s="53" t="e">
        <f>VLOOKUP(Table110[[#This Row],[FECHA /HORA]],TBL_CalcDarwin[],7,0)</f>
        <v>#N/A</v>
      </c>
      <c r="F15" s="53" t="e">
        <f>VLOOKUP(Table110[[#This Row],[FECHA /HORA]],TBL_CalcDarwin[],42,0)</f>
        <v>#N/A</v>
      </c>
      <c r="G15" s="53" t="e">
        <f>VLOOKUP(Table110[[#This Row],[FECHA /HORA]],TBL_CalcDarwin[],43,0)</f>
        <v>#N/A</v>
      </c>
      <c r="H15" s="53" t="e">
        <f>VLOOKUP(Table110[[#This Row],[FECHA /HORA]],TBL_CalcDarwin[],40,0)</f>
        <v>#N/A</v>
      </c>
      <c r="I15" s="53" t="e">
        <f>VLOOKUP(Table110[[#This Row],[FECHA /HORA]],TBL_CalcDarwin[],41,0)</f>
        <v>#N/A</v>
      </c>
      <c r="J15" s="53" t="e">
        <f>Table110[[#This Row],[MW Proyectada (Barra A)]]+Table110[[#This Row],[MW Proyectada (Barra B)]]</f>
        <v>#N/A</v>
      </c>
      <c r="L15" s="53" t="e">
        <f t="shared" si="0"/>
        <v>#N/A</v>
      </c>
      <c r="M15" s="53" t="e">
        <f>IF(Table110[[#This Row],[TOTAL MW]]&lt;165,Table110[[#This Row],[MW Proyectada (Barra A)]],Table110[[#This Row],[MW Proyectada (Barra A)]]*165/Table110[[#This Row],[TOTAL MW]])</f>
        <v>#N/A</v>
      </c>
      <c r="N15" s="53" t="e">
        <f>IF(Table110[[#This Row],[TOTAL MW]]&lt;165,Table110[[#This Row],[MW Proyectada (Barra B)]],Table110[[#This Row],[MW Proyectada (Barra B)]]*165/Table110[[#This Row],[TOTAL MW]])</f>
        <v>#N/A</v>
      </c>
      <c r="P15" s="90"/>
      <c r="Q15" s="90"/>
      <c r="R15" s="93"/>
      <c r="S15" s="93"/>
    </row>
    <row r="16" spans="2:19" x14ac:dyDescent="0.25">
      <c r="B16" s="91">
        <f t="shared" si="1"/>
        <v>45583.624999999971</v>
      </c>
      <c r="C16" s="52">
        <f t="shared" si="2"/>
        <v>0.62499999999999989</v>
      </c>
      <c r="D16" s="92">
        <f>Table110[[#This Row],[Fecha]]</f>
        <v>45583.624999999971</v>
      </c>
      <c r="E16" s="53" t="e">
        <f>VLOOKUP(Table110[[#This Row],[FECHA /HORA]],TBL_CalcDarwin[],7,0)</f>
        <v>#N/A</v>
      </c>
      <c r="F16" s="53" t="e">
        <f>VLOOKUP(Table110[[#This Row],[FECHA /HORA]],TBL_CalcDarwin[],42,0)</f>
        <v>#N/A</v>
      </c>
      <c r="G16" s="53" t="e">
        <f>VLOOKUP(Table110[[#This Row],[FECHA /HORA]],TBL_CalcDarwin[],43,0)</f>
        <v>#N/A</v>
      </c>
      <c r="H16" s="53" t="e">
        <f>VLOOKUP(Table110[[#This Row],[FECHA /HORA]],TBL_CalcDarwin[],40,0)</f>
        <v>#N/A</v>
      </c>
      <c r="I16" s="53" t="e">
        <f>VLOOKUP(Table110[[#This Row],[FECHA /HORA]],TBL_CalcDarwin[],41,0)</f>
        <v>#N/A</v>
      </c>
      <c r="J16" s="53" t="e">
        <f>Table110[[#This Row],[MW Proyectada (Barra A)]]+Table110[[#This Row],[MW Proyectada (Barra B)]]</f>
        <v>#N/A</v>
      </c>
      <c r="L16" s="53" t="e">
        <f t="shared" si="0"/>
        <v>#N/A</v>
      </c>
      <c r="M16" s="53" t="e">
        <f>IF(Table110[[#This Row],[TOTAL MW]]&lt;165,Table110[[#This Row],[MW Proyectada (Barra A)]],Table110[[#This Row],[MW Proyectada (Barra A)]]*165/Table110[[#This Row],[TOTAL MW]])</f>
        <v>#N/A</v>
      </c>
      <c r="N16" s="53" t="e">
        <f>IF(Table110[[#This Row],[TOTAL MW]]&lt;165,Table110[[#This Row],[MW Proyectada (Barra B)]],Table110[[#This Row],[MW Proyectada (Barra B)]]*165/Table110[[#This Row],[TOTAL MW]])</f>
        <v>#N/A</v>
      </c>
      <c r="P16" s="90"/>
      <c r="Q16" s="90"/>
      <c r="R16" s="93"/>
      <c r="S16" s="93"/>
    </row>
    <row r="17" spans="2:19" x14ac:dyDescent="0.25">
      <c r="B17" s="91">
        <f t="shared" si="1"/>
        <v>45583.666666666635</v>
      </c>
      <c r="C17" s="52">
        <f t="shared" si="2"/>
        <v>0.66666666666666652</v>
      </c>
      <c r="D17" s="92">
        <f>Table110[[#This Row],[Fecha]]</f>
        <v>45583.666666666635</v>
      </c>
      <c r="E17" s="53" t="e">
        <f>VLOOKUP(Table110[[#This Row],[FECHA /HORA]],TBL_CalcDarwin[],7,0)</f>
        <v>#N/A</v>
      </c>
      <c r="F17" s="53" t="e">
        <f>VLOOKUP(Table110[[#This Row],[FECHA /HORA]],TBL_CalcDarwin[],42,0)</f>
        <v>#N/A</v>
      </c>
      <c r="G17" s="53" t="e">
        <f>VLOOKUP(Table110[[#This Row],[FECHA /HORA]],TBL_CalcDarwin[],43,0)</f>
        <v>#N/A</v>
      </c>
      <c r="H17" s="53" t="e">
        <f>VLOOKUP(Table110[[#This Row],[FECHA /HORA]],TBL_CalcDarwin[],40,0)</f>
        <v>#N/A</v>
      </c>
      <c r="I17" s="53" t="e">
        <f>VLOOKUP(Table110[[#This Row],[FECHA /HORA]],TBL_CalcDarwin[],41,0)</f>
        <v>#N/A</v>
      </c>
      <c r="J17" s="53" t="e">
        <f>Table110[[#This Row],[MW Proyectada (Barra A)]]+Table110[[#This Row],[MW Proyectada (Barra B)]]</f>
        <v>#N/A</v>
      </c>
      <c r="L17" s="53" t="e">
        <f t="shared" si="0"/>
        <v>#N/A</v>
      </c>
      <c r="M17" s="53" t="e">
        <f>IF(Table110[[#This Row],[TOTAL MW]]&lt;165,Table110[[#This Row],[MW Proyectada (Barra A)]],Table110[[#This Row],[MW Proyectada (Barra A)]]*165/Table110[[#This Row],[TOTAL MW]])</f>
        <v>#N/A</v>
      </c>
      <c r="N17" s="53" t="e">
        <f>IF(Table110[[#This Row],[TOTAL MW]]&lt;165,Table110[[#This Row],[MW Proyectada (Barra B)]],Table110[[#This Row],[MW Proyectada (Barra B)]]*165/Table110[[#This Row],[TOTAL MW]])</f>
        <v>#N/A</v>
      </c>
      <c r="P17" s="90"/>
      <c r="Q17" s="90"/>
      <c r="R17" s="93"/>
      <c r="S17" s="93"/>
    </row>
    <row r="18" spans="2:19" x14ac:dyDescent="0.25">
      <c r="B18" s="91">
        <f t="shared" si="1"/>
        <v>45583.708333333299</v>
      </c>
      <c r="C18" s="52">
        <f t="shared" si="2"/>
        <v>0.70833333333333315</v>
      </c>
      <c r="D18" s="92">
        <f>Table110[[#This Row],[Fecha]]</f>
        <v>45583.708333333299</v>
      </c>
      <c r="E18" s="53" t="e">
        <f>VLOOKUP(Table110[[#This Row],[FECHA /HORA]],TBL_CalcDarwin[],7,0)</f>
        <v>#N/A</v>
      </c>
      <c r="F18" s="53" t="e">
        <f>VLOOKUP(Table110[[#This Row],[FECHA /HORA]],TBL_CalcDarwin[],42,0)</f>
        <v>#N/A</v>
      </c>
      <c r="G18" s="53" t="e">
        <f>VLOOKUP(Table110[[#This Row],[FECHA /HORA]],TBL_CalcDarwin[],43,0)</f>
        <v>#N/A</v>
      </c>
      <c r="H18" s="53" t="e">
        <f>VLOOKUP(Table110[[#This Row],[FECHA /HORA]],TBL_CalcDarwin[],40,0)</f>
        <v>#N/A</v>
      </c>
      <c r="I18" s="53" t="e">
        <f>VLOOKUP(Table110[[#This Row],[FECHA /HORA]],TBL_CalcDarwin[],41,0)</f>
        <v>#N/A</v>
      </c>
      <c r="J18" s="53" t="e">
        <f>Table110[[#This Row],[MW Proyectada (Barra A)]]+Table110[[#This Row],[MW Proyectada (Barra B)]]</f>
        <v>#N/A</v>
      </c>
      <c r="L18" s="53" t="e">
        <f t="shared" si="0"/>
        <v>#N/A</v>
      </c>
      <c r="M18" s="53" t="e">
        <f>IF(Table110[[#This Row],[TOTAL MW]]&lt;165,Table110[[#This Row],[MW Proyectada (Barra A)]],Table110[[#This Row],[MW Proyectada (Barra A)]]*165/Table110[[#This Row],[TOTAL MW]])</f>
        <v>#N/A</v>
      </c>
      <c r="N18" s="53" t="e">
        <f>IF(Table110[[#This Row],[TOTAL MW]]&lt;165,Table110[[#This Row],[MW Proyectada (Barra B)]],Table110[[#This Row],[MW Proyectada (Barra B)]]*165/Table110[[#This Row],[TOTAL MW]])</f>
        <v>#N/A</v>
      </c>
      <c r="P18" s="90"/>
      <c r="Q18" s="90"/>
      <c r="R18" s="93"/>
      <c r="S18" s="93"/>
    </row>
    <row r="19" spans="2:19" x14ac:dyDescent="0.25">
      <c r="B19" s="91">
        <f t="shared" si="1"/>
        <v>45583.749999999964</v>
      </c>
      <c r="C19" s="52">
        <f t="shared" si="2"/>
        <v>0.74999999999999978</v>
      </c>
      <c r="D19" s="92">
        <f>Table110[[#This Row],[Fecha]]</f>
        <v>45583.749999999964</v>
      </c>
      <c r="E19" s="53" t="e">
        <f>VLOOKUP(Table110[[#This Row],[FECHA /HORA]],TBL_CalcDarwin[],7,0)</f>
        <v>#N/A</v>
      </c>
      <c r="F19" s="53" t="e">
        <f>VLOOKUP(Table110[[#This Row],[FECHA /HORA]],TBL_CalcDarwin[],42,0)</f>
        <v>#N/A</v>
      </c>
      <c r="G19" s="53" t="e">
        <f>VLOOKUP(Table110[[#This Row],[FECHA /HORA]],TBL_CalcDarwin[],43,0)</f>
        <v>#N/A</v>
      </c>
      <c r="H19" s="53" t="e">
        <f>VLOOKUP(Table110[[#This Row],[FECHA /HORA]],TBL_CalcDarwin[],40,0)</f>
        <v>#N/A</v>
      </c>
      <c r="I19" s="53" t="e">
        <f>VLOOKUP(Table110[[#This Row],[FECHA /HORA]],TBL_CalcDarwin[],41,0)</f>
        <v>#N/A</v>
      </c>
      <c r="J19" s="53" t="e">
        <f>Table110[[#This Row],[MW Proyectada (Barra A)]]+Table110[[#This Row],[MW Proyectada (Barra B)]]</f>
        <v>#N/A</v>
      </c>
      <c r="L19" s="53" t="e">
        <f t="shared" si="0"/>
        <v>#N/A</v>
      </c>
      <c r="M19" s="53" t="e">
        <f>IF(Table110[[#This Row],[TOTAL MW]]&lt;165,Table110[[#This Row],[MW Proyectada (Barra A)]],Table110[[#This Row],[MW Proyectada (Barra A)]]*165/Table110[[#This Row],[TOTAL MW]])</f>
        <v>#N/A</v>
      </c>
      <c r="N19" s="53" t="e">
        <f>IF(Table110[[#This Row],[TOTAL MW]]&lt;165,Table110[[#This Row],[MW Proyectada (Barra B)]],Table110[[#This Row],[MW Proyectada (Barra B)]]*165/Table110[[#This Row],[TOTAL MW]])</f>
        <v>#N/A</v>
      </c>
      <c r="P19" s="90"/>
      <c r="Q19" s="90"/>
      <c r="R19" s="93"/>
      <c r="S19" s="93"/>
    </row>
    <row r="20" spans="2:19" x14ac:dyDescent="0.25">
      <c r="B20" s="91">
        <f t="shared" si="1"/>
        <v>45583.791666666628</v>
      </c>
      <c r="C20" s="52">
        <f t="shared" si="2"/>
        <v>0.79166666666666641</v>
      </c>
      <c r="D20" s="92">
        <f>Table110[[#This Row],[Fecha]]</f>
        <v>45583.791666666628</v>
      </c>
      <c r="E20" s="53" t="e">
        <f>VLOOKUP(Table110[[#This Row],[FECHA /HORA]],TBL_CalcDarwin[],7,0)</f>
        <v>#N/A</v>
      </c>
      <c r="F20" s="53" t="e">
        <f>VLOOKUP(Table110[[#This Row],[FECHA /HORA]],TBL_CalcDarwin[],42,0)</f>
        <v>#N/A</v>
      </c>
      <c r="G20" s="53" t="e">
        <f>VLOOKUP(Table110[[#This Row],[FECHA /HORA]],TBL_CalcDarwin[],43,0)</f>
        <v>#N/A</v>
      </c>
      <c r="H20" s="53" t="e">
        <f>VLOOKUP(Table110[[#This Row],[FECHA /HORA]],TBL_CalcDarwin[],40,0)</f>
        <v>#N/A</v>
      </c>
      <c r="I20" s="53" t="e">
        <f>VLOOKUP(Table110[[#This Row],[FECHA /HORA]],TBL_CalcDarwin[],41,0)</f>
        <v>#N/A</v>
      </c>
      <c r="J20" s="53" t="e">
        <f>Table110[[#This Row],[MW Proyectada (Barra A)]]+Table110[[#This Row],[MW Proyectada (Barra B)]]</f>
        <v>#N/A</v>
      </c>
      <c r="L20" s="53" t="e">
        <f t="shared" si="0"/>
        <v>#N/A</v>
      </c>
      <c r="M20" s="53" t="e">
        <f>IF(Table110[[#This Row],[TOTAL MW]]&lt;165,Table110[[#This Row],[MW Proyectada (Barra A)]],Table110[[#This Row],[MW Proyectada (Barra A)]]*165/Table110[[#This Row],[TOTAL MW]])</f>
        <v>#N/A</v>
      </c>
      <c r="N20" s="53" t="e">
        <f>IF(Table110[[#This Row],[TOTAL MW]]&lt;165,Table110[[#This Row],[MW Proyectada (Barra B)]],Table110[[#This Row],[MW Proyectada (Barra B)]]*165/Table110[[#This Row],[TOTAL MW]])</f>
        <v>#N/A</v>
      </c>
      <c r="P20" s="90"/>
      <c r="Q20" s="90"/>
      <c r="R20" s="93"/>
      <c r="S20" s="93"/>
    </row>
    <row r="21" spans="2:19" x14ac:dyDescent="0.25">
      <c r="B21" s="91">
        <f t="shared" si="1"/>
        <v>45583.833333333292</v>
      </c>
      <c r="C21" s="52">
        <f t="shared" si="2"/>
        <v>0.83333333333333304</v>
      </c>
      <c r="D21" s="92">
        <f>Table110[[#This Row],[Fecha]]</f>
        <v>45583.833333333292</v>
      </c>
      <c r="E21" s="53" t="e">
        <f>VLOOKUP(Table110[[#This Row],[FECHA /HORA]],TBL_CalcDarwin[],7,0)</f>
        <v>#N/A</v>
      </c>
      <c r="F21" s="53" t="e">
        <f>VLOOKUP(Table110[[#This Row],[FECHA /HORA]],TBL_CalcDarwin[],42,0)</f>
        <v>#N/A</v>
      </c>
      <c r="G21" s="53" t="e">
        <f>VLOOKUP(Table110[[#This Row],[FECHA /HORA]],TBL_CalcDarwin[],43,0)</f>
        <v>#N/A</v>
      </c>
      <c r="H21" s="53" t="e">
        <f>VLOOKUP(Table110[[#This Row],[FECHA /HORA]],TBL_CalcDarwin[],40,0)</f>
        <v>#N/A</v>
      </c>
      <c r="I21" s="53" t="e">
        <f>VLOOKUP(Table110[[#This Row],[FECHA /HORA]],TBL_CalcDarwin[],41,0)</f>
        <v>#N/A</v>
      </c>
      <c r="J21" s="53" t="e">
        <f>Table110[[#This Row],[MW Proyectada (Barra A)]]+Table110[[#This Row],[MW Proyectada (Barra B)]]</f>
        <v>#N/A</v>
      </c>
      <c r="L21" s="53" t="e">
        <f t="shared" si="0"/>
        <v>#N/A</v>
      </c>
      <c r="M21" s="53" t="e">
        <f>IF(Table110[[#This Row],[TOTAL MW]]&lt;165,Table110[[#This Row],[MW Proyectada (Barra A)]],Table110[[#This Row],[MW Proyectada (Barra A)]]*165/Table110[[#This Row],[TOTAL MW]])</f>
        <v>#N/A</v>
      </c>
      <c r="N21" s="53" t="e">
        <f>IF(Table110[[#This Row],[TOTAL MW]]&lt;165,Table110[[#This Row],[MW Proyectada (Barra B)]],Table110[[#This Row],[MW Proyectada (Barra B)]]*165/Table110[[#This Row],[TOTAL MW]])</f>
        <v>#N/A</v>
      </c>
      <c r="P21" s="90"/>
      <c r="Q21" s="90"/>
      <c r="R21" s="93"/>
      <c r="S21" s="93"/>
    </row>
    <row r="22" spans="2:19" x14ac:dyDescent="0.25">
      <c r="B22" s="91">
        <f t="shared" si="1"/>
        <v>45583.874999999956</v>
      </c>
      <c r="C22" s="52">
        <f t="shared" si="2"/>
        <v>0.87499999999999967</v>
      </c>
      <c r="D22" s="92">
        <f>Table110[[#This Row],[Fecha]]</f>
        <v>45583.874999999956</v>
      </c>
      <c r="E22" s="53" t="e">
        <f>VLOOKUP(Table110[[#This Row],[FECHA /HORA]],TBL_CalcDarwin[],7,0)</f>
        <v>#N/A</v>
      </c>
      <c r="F22" s="53" t="e">
        <f>VLOOKUP(Table110[[#This Row],[FECHA /HORA]],TBL_CalcDarwin[],42,0)</f>
        <v>#N/A</v>
      </c>
      <c r="G22" s="53" t="e">
        <f>VLOOKUP(Table110[[#This Row],[FECHA /HORA]],TBL_CalcDarwin[],43,0)</f>
        <v>#N/A</v>
      </c>
      <c r="H22" s="53" t="e">
        <f>VLOOKUP(Table110[[#This Row],[FECHA /HORA]],TBL_CalcDarwin[],40,0)</f>
        <v>#N/A</v>
      </c>
      <c r="I22" s="53" t="e">
        <f>VLOOKUP(Table110[[#This Row],[FECHA /HORA]],TBL_CalcDarwin[],41,0)</f>
        <v>#N/A</v>
      </c>
      <c r="J22" s="53" t="e">
        <f>Table110[[#This Row],[MW Proyectada (Barra A)]]+Table110[[#This Row],[MW Proyectada (Barra B)]]</f>
        <v>#N/A</v>
      </c>
      <c r="L22" s="53" t="e">
        <f t="shared" si="0"/>
        <v>#N/A</v>
      </c>
      <c r="M22" s="53" t="e">
        <f>IF(Table110[[#This Row],[TOTAL MW]]&lt;165,Table110[[#This Row],[MW Proyectada (Barra A)]],Table110[[#This Row],[MW Proyectada (Barra A)]]*165/Table110[[#This Row],[TOTAL MW]])</f>
        <v>#N/A</v>
      </c>
      <c r="N22" s="53" t="e">
        <f>IF(Table110[[#This Row],[TOTAL MW]]&lt;165,Table110[[#This Row],[MW Proyectada (Barra B)]],Table110[[#This Row],[MW Proyectada (Barra B)]]*165/Table110[[#This Row],[TOTAL MW]])</f>
        <v>#N/A</v>
      </c>
      <c r="P22" s="90"/>
      <c r="Q22" s="90"/>
      <c r="R22" s="93"/>
      <c r="S22" s="93"/>
    </row>
    <row r="23" spans="2:19" x14ac:dyDescent="0.25">
      <c r="B23" s="91">
        <f t="shared" si="1"/>
        <v>45583.916666666621</v>
      </c>
      <c r="C23" s="52">
        <f t="shared" si="2"/>
        <v>0.9166666666666663</v>
      </c>
      <c r="D23" s="92">
        <f>Table110[[#This Row],[Fecha]]</f>
        <v>45583.916666666621</v>
      </c>
      <c r="E23" s="53" t="e">
        <f>VLOOKUP(Table110[[#This Row],[FECHA /HORA]],TBL_CalcDarwin[],7,0)</f>
        <v>#N/A</v>
      </c>
      <c r="F23" s="53" t="e">
        <f>VLOOKUP(Table110[[#This Row],[FECHA /HORA]],TBL_CalcDarwin[],42,0)</f>
        <v>#N/A</v>
      </c>
      <c r="G23" s="53" t="e">
        <f>VLOOKUP(Table110[[#This Row],[FECHA /HORA]],TBL_CalcDarwin[],43,0)</f>
        <v>#N/A</v>
      </c>
      <c r="H23" s="53" t="e">
        <f>VLOOKUP(Table110[[#This Row],[FECHA /HORA]],TBL_CalcDarwin[],40,0)</f>
        <v>#N/A</v>
      </c>
      <c r="I23" s="53" t="e">
        <f>VLOOKUP(Table110[[#This Row],[FECHA /HORA]],TBL_CalcDarwin[],41,0)</f>
        <v>#N/A</v>
      </c>
      <c r="J23" s="53" t="e">
        <f>Table110[[#This Row],[MW Proyectada (Barra A)]]+Table110[[#This Row],[MW Proyectada (Barra B)]]</f>
        <v>#N/A</v>
      </c>
      <c r="L23" s="53" t="e">
        <f t="shared" si="0"/>
        <v>#N/A</v>
      </c>
      <c r="M23" s="53" t="e">
        <f>IF(Table110[[#This Row],[TOTAL MW]]&lt;165,Table110[[#This Row],[MW Proyectada (Barra A)]],Table110[[#This Row],[MW Proyectada (Barra A)]]*165/Table110[[#This Row],[TOTAL MW]])</f>
        <v>#N/A</v>
      </c>
      <c r="N23" s="53" t="e">
        <f>IF(Table110[[#This Row],[TOTAL MW]]&lt;165,Table110[[#This Row],[MW Proyectada (Barra B)]],Table110[[#This Row],[MW Proyectada (Barra B)]]*165/Table110[[#This Row],[TOTAL MW]])</f>
        <v>#N/A</v>
      </c>
      <c r="P23" s="90"/>
      <c r="Q23" s="90"/>
      <c r="R23" s="93"/>
      <c r="S23" s="93"/>
    </row>
    <row r="24" spans="2:19" x14ac:dyDescent="0.25">
      <c r="B24" s="91">
        <f t="shared" si="1"/>
        <v>45583.958333333285</v>
      </c>
      <c r="C24" s="52">
        <f t="shared" si="2"/>
        <v>0.95833333333333293</v>
      </c>
      <c r="D24" s="92">
        <f>Table110[[#This Row],[Fecha]]</f>
        <v>45583.958333333285</v>
      </c>
      <c r="E24" s="53" t="e">
        <f>VLOOKUP(Table110[[#This Row],[FECHA /HORA]],TBL_CalcDarwin[],7,0)</f>
        <v>#N/A</v>
      </c>
      <c r="F24" s="53" t="e">
        <f>VLOOKUP(Table110[[#This Row],[FECHA /HORA]],TBL_CalcDarwin[],42,0)</f>
        <v>#N/A</v>
      </c>
      <c r="G24" s="53" t="e">
        <f>VLOOKUP(Table110[[#This Row],[FECHA /HORA]],TBL_CalcDarwin[],43,0)</f>
        <v>#N/A</v>
      </c>
      <c r="H24" s="53" t="e">
        <f>VLOOKUP(Table110[[#This Row],[FECHA /HORA]],TBL_CalcDarwin[],40,0)</f>
        <v>#N/A</v>
      </c>
      <c r="I24" s="53" t="e">
        <f>VLOOKUP(Table110[[#This Row],[FECHA /HORA]],TBL_CalcDarwin[],41,0)</f>
        <v>#N/A</v>
      </c>
      <c r="J24" s="53" t="e">
        <f>Table110[[#This Row],[MW Proyectada (Barra A)]]+Table110[[#This Row],[MW Proyectada (Barra B)]]</f>
        <v>#N/A</v>
      </c>
      <c r="L24" s="53" t="e">
        <f t="shared" si="0"/>
        <v>#N/A</v>
      </c>
      <c r="M24" s="53" t="e">
        <f>IF(Table110[[#This Row],[TOTAL MW]]&lt;165,Table110[[#This Row],[MW Proyectada (Barra A)]],Table110[[#This Row],[MW Proyectada (Barra A)]]*165/Table110[[#This Row],[TOTAL MW]])</f>
        <v>#N/A</v>
      </c>
      <c r="N24" s="53" t="e">
        <f>IF(Table110[[#This Row],[TOTAL MW]]&lt;165,Table110[[#This Row],[MW Proyectada (Barra B)]],Table110[[#This Row],[MW Proyectada (Barra B)]]*165/Table110[[#This Row],[TOTAL MW]])</f>
        <v>#N/A</v>
      </c>
      <c r="P24" s="90"/>
      <c r="Q24" s="90"/>
      <c r="R24" s="93"/>
      <c r="S24" s="93"/>
    </row>
    <row r="25" spans="2:19" x14ac:dyDescent="0.25">
      <c r="B25" s="91">
        <f t="shared" si="1"/>
        <v>45583.999999999949</v>
      </c>
      <c r="C25" s="52">
        <f t="shared" si="2"/>
        <v>0.99999999999999956</v>
      </c>
      <c r="D25" s="92">
        <f>Table110[[#This Row],[Fecha]]</f>
        <v>45583.999999999949</v>
      </c>
      <c r="E25" s="53" t="e">
        <f>VLOOKUP(Table110[[#This Row],[FECHA /HORA]],TBL_CalcDarwin[],7,0)</f>
        <v>#N/A</v>
      </c>
      <c r="F25" s="53" t="e">
        <f>VLOOKUP(Table110[[#This Row],[FECHA /HORA]],TBL_CalcDarwin[],42,0)</f>
        <v>#N/A</v>
      </c>
      <c r="G25" s="53" t="e">
        <f>VLOOKUP(Table110[[#This Row],[FECHA /HORA]],TBL_CalcDarwin[],43,0)</f>
        <v>#N/A</v>
      </c>
      <c r="H25" s="53" t="e">
        <f>VLOOKUP(Table110[[#This Row],[FECHA /HORA]],TBL_CalcDarwin[],40,0)</f>
        <v>#N/A</v>
      </c>
      <c r="I25" s="53" t="e">
        <f>VLOOKUP(Table110[[#This Row],[FECHA /HORA]],TBL_CalcDarwin[],41,0)</f>
        <v>#N/A</v>
      </c>
      <c r="J25" s="53" t="e">
        <f>Table110[[#This Row],[MW Proyectada (Barra A)]]+Table110[[#This Row],[MW Proyectada (Barra B)]]</f>
        <v>#N/A</v>
      </c>
      <c r="L25" s="53" t="e">
        <f t="shared" si="0"/>
        <v>#N/A</v>
      </c>
      <c r="M25" s="53" t="e">
        <f>IF(Table110[[#This Row],[TOTAL MW]]&lt;165,Table110[[#This Row],[MW Proyectada (Barra A)]],Table110[[#This Row],[MW Proyectada (Barra A)]]*165/Table110[[#This Row],[TOTAL MW]])</f>
        <v>#N/A</v>
      </c>
      <c r="N25" s="53" t="e">
        <f>IF(Table110[[#This Row],[TOTAL MW]]&lt;165,Table110[[#This Row],[MW Proyectada (Barra B)]],Table110[[#This Row],[MW Proyectada (Barra B)]]*165/Table110[[#This Row],[TOTAL MW]])</f>
        <v>#N/A</v>
      </c>
      <c r="P25" s="90"/>
      <c r="Q25" s="90"/>
      <c r="R25" s="93"/>
      <c r="S25" s="93"/>
    </row>
    <row r="26" spans="2:19" x14ac:dyDescent="0.25">
      <c r="B26" s="91">
        <f t="shared" si="1"/>
        <v>45584.041666666613</v>
      </c>
      <c r="C26" s="52">
        <f t="shared" si="2"/>
        <v>1.0416666666666663</v>
      </c>
      <c r="D26" s="92">
        <f>Table110[[#This Row],[Fecha]]</f>
        <v>45584.041666666613</v>
      </c>
      <c r="E26" s="53" t="e">
        <f>VLOOKUP(Table110[[#This Row],[FECHA /HORA]],TBL_CalcDarwin[],7,0)</f>
        <v>#N/A</v>
      </c>
      <c r="F26" s="53" t="e">
        <f>VLOOKUP(Table110[[#This Row],[FECHA /HORA]],TBL_CalcDarwin[],42,0)</f>
        <v>#N/A</v>
      </c>
      <c r="G26" s="53" t="e">
        <f>VLOOKUP(Table110[[#This Row],[FECHA /HORA]],TBL_CalcDarwin[],43,0)</f>
        <v>#N/A</v>
      </c>
      <c r="H26" s="53" t="e">
        <f>VLOOKUP(Table110[[#This Row],[FECHA /HORA]],TBL_CalcDarwin[],40,0)</f>
        <v>#N/A</v>
      </c>
      <c r="I26" s="53" t="e">
        <f>VLOOKUP(Table110[[#This Row],[FECHA /HORA]],TBL_CalcDarwin[],41,0)</f>
        <v>#N/A</v>
      </c>
      <c r="J26" s="53" t="e">
        <f>Table110[[#This Row],[MW Proyectada (Barra A)]]+Table110[[#This Row],[MW Proyectada (Barra B)]]</f>
        <v>#N/A</v>
      </c>
      <c r="L26" s="53" t="e">
        <f t="shared" si="0"/>
        <v>#N/A</v>
      </c>
      <c r="M26" s="53" t="e">
        <f>IF(Table110[[#This Row],[TOTAL MW]]&lt;165,Table110[[#This Row],[MW Proyectada (Barra A)]],Table110[[#This Row],[MW Proyectada (Barra A)]]*165/Table110[[#This Row],[TOTAL MW]])</f>
        <v>#N/A</v>
      </c>
      <c r="N26" s="53" t="e">
        <f>IF(Table110[[#This Row],[TOTAL MW]]&lt;165,Table110[[#This Row],[MW Proyectada (Barra B)]],Table110[[#This Row],[MW Proyectada (Barra B)]]*165/Table110[[#This Row],[TOTAL MW]])</f>
        <v>#N/A</v>
      </c>
      <c r="P26" s="90"/>
      <c r="Q26" s="90"/>
      <c r="R26" s="93"/>
      <c r="S26" s="93"/>
    </row>
    <row r="27" spans="2:19" x14ac:dyDescent="0.25">
      <c r="B27" s="91">
        <f t="shared" si="1"/>
        <v>45584.083333333278</v>
      </c>
      <c r="C27" s="52">
        <f t="shared" si="2"/>
        <v>1.083333333333333</v>
      </c>
      <c r="D27" s="92">
        <f>Table110[[#This Row],[Fecha]]</f>
        <v>45584.083333333278</v>
      </c>
      <c r="E27" s="53" t="e">
        <f>VLOOKUP(Table110[[#This Row],[FECHA /HORA]],TBL_CalcDarwin[],7,0)</f>
        <v>#N/A</v>
      </c>
      <c r="F27" s="53" t="e">
        <f>VLOOKUP(Table110[[#This Row],[FECHA /HORA]],TBL_CalcDarwin[],42,0)</f>
        <v>#N/A</v>
      </c>
      <c r="G27" s="53" t="e">
        <f>VLOOKUP(Table110[[#This Row],[FECHA /HORA]],TBL_CalcDarwin[],43,0)</f>
        <v>#N/A</v>
      </c>
      <c r="H27" s="53" t="e">
        <f>VLOOKUP(Table110[[#This Row],[FECHA /HORA]],TBL_CalcDarwin[],40,0)</f>
        <v>#N/A</v>
      </c>
      <c r="I27" s="53" t="e">
        <f>VLOOKUP(Table110[[#This Row],[FECHA /HORA]],TBL_CalcDarwin[],41,0)</f>
        <v>#N/A</v>
      </c>
      <c r="J27" s="53" t="e">
        <f>Table110[[#This Row],[MW Proyectada (Barra A)]]+Table110[[#This Row],[MW Proyectada (Barra B)]]</f>
        <v>#N/A</v>
      </c>
      <c r="L27" s="53" t="e">
        <f t="shared" si="0"/>
        <v>#N/A</v>
      </c>
      <c r="M27" s="53" t="e">
        <f>IF(Table110[[#This Row],[TOTAL MW]]&lt;165,Table110[[#This Row],[MW Proyectada (Barra A)]],Table110[[#This Row],[MW Proyectada (Barra A)]]*165/Table110[[#This Row],[TOTAL MW]])</f>
        <v>#N/A</v>
      </c>
      <c r="N27" s="53" t="e">
        <f>IF(Table110[[#This Row],[TOTAL MW]]&lt;165,Table110[[#This Row],[MW Proyectada (Barra B)]],Table110[[#This Row],[MW Proyectada (Barra B)]]*165/Table110[[#This Row],[TOTAL MW]])</f>
        <v>#N/A</v>
      </c>
      <c r="P27" s="90"/>
      <c r="Q27" s="90"/>
      <c r="R27" s="93"/>
      <c r="S27" s="93"/>
    </row>
    <row r="28" spans="2:19" x14ac:dyDescent="0.25">
      <c r="B28" s="91">
        <f t="shared" si="1"/>
        <v>45584.124999999942</v>
      </c>
      <c r="C28" s="52">
        <f t="shared" si="2"/>
        <v>1.1249999999999998</v>
      </c>
      <c r="D28" s="92">
        <f>Table110[[#This Row],[Fecha]]</f>
        <v>45584.124999999942</v>
      </c>
      <c r="E28" s="53" t="e">
        <f>VLOOKUP(Table110[[#This Row],[FECHA /HORA]],TBL_CalcDarwin[],7,0)</f>
        <v>#N/A</v>
      </c>
      <c r="F28" s="53" t="e">
        <f>VLOOKUP(Table110[[#This Row],[FECHA /HORA]],TBL_CalcDarwin[],42,0)</f>
        <v>#N/A</v>
      </c>
      <c r="G28" s="53" t="e">
        <f>VLOOKUP(Table110[[#This Row],[FECHA /HORA]],TBL_CalcDarwin[],43,0)</f>
        <v>#N/A</v>
      </c>
      <c r="H28" s="53" t="e">
        <f>VLOOKUP(Table110[[#This Row],[FECHA /HORA]],TBL_CalcDarwin[],40,0)</f>
        <v>#N/A</v>
      </c>
      <c r="I28" s="53" t="e">
        <f>VLOOKUP(Table110[[#This Row],[FECHA /HORA]],TBL_CalcDarwin[],41,0)</f>
        <v>#N/A</v>
      </c>
      <c r="J28" s="53" t="e">
        <f>Table110[[#This Row],[MW Proyectada (Barra A)]]+Table110[[#This Row],[MW Proyectada (Barra B)]]</f>
        <v>#N/A</v>
      </c>
      <c r="L28" s="53" t="e">
        <f t="shared" si="0"/>
        <v>#N/A</v>
      </c>
      <c r="M28" s="53" t="e">
        <f>IF(Table110[[#This Row],[TOTAL MW]]&lt;165,Table110[[#This Row],[MW Proyectada (Barra A)]],Table110[[#This Row],[MW Proyectada (Barra A)]]*165/Table110[[#This Row],[TOTAL MW]])</f>
        <v>#N/A</v>
      </c>
      <c r="N28" s="53" t="e">
        <f>IF(Table110[[#This Row],[TOTAL MW]]&lt;165,Table110[[#This Row],[MW Proyectada (Barra B)]],Table110[[#This Row],[MW Proyectada (Barra B)]]*165/Table110[[#This Row],[TOTAL MW]])</f>
        <v>#N/A</v>
      </c>
      <c r="P28" s="90"/>
      <c r="Q28" s="90"/>
      <c r="R28" s="93"/>
      <c r="S28" s="93"/>
    </row>
    <row r="29" spans="2:19" x14ac:dyDescent="0.25">
      <c r="B29" s="91">
        <f t="shared" si="1"/>
        <v>45584.166666666606</v>
      </c>
      <c r="C29" s="52">
        <f t="shared" si="2"/>
        <v>1.1666666666666665</v>
      </c>
      <c r="D29" s="92">
        <f>Table110[[#This Row],[Fecha]]</f>
        <v>45584.166666666606</v>
      </c>
      <c r="E29" s="53" t="e">
        <f>VLOOKUP(Table110[[#This Row],[FECHA /HORA]],TBL_CalcDarwin[],7,0)</f>
        <v>#N/A</v>
      </c>
      <c r="F29" s="53" t="e">
        <f>VLOOKUP(Table110[[#This Row],[FECHA /HORA]],TBL_CalcDarwin[],42,0)</f>
        <v>#N/A</v>
      </c>
      <c r="G29" s="53" t="e">
        <f>VLOOKUP(Table110[[#This Row],[FECHA /HORA]],TBL_CalcDarwin[],43,0)</f>
        <v>#N/A</v>
      </c>
      <c r="H29" s="53" t="e">
        <f>VLOOKUP(Table110[[#This Row],[FECHA /HORA]],TBL_CalcDarwin[],40,0)</f>
        <v>#N/A</v>
      </c>
      <c r="I29" s="53" t="e">
        <f>VLOOKUP(Table110[[#This Row],[FECHA /HORA]],TBL_CalcDarwin[],41,0)</f>
        <v>#N/A</v>
      </c>
      <c r="J29" s="53" t="e">
        <f>Table110[[#This Row],[MW Proyectada (Barra A)]]+Table110[[#This Row],[MW Proyectada (Barra B)]]</f>
        <v>#N/A</v>
      </c>
      <c r="L29" s="53" t="e">
        <f t="shared" si="0"/>
        <v>#N/A</v>
      </c>
      <c r="M29" s="53" t="e">
        <f>IF(Table110[[#This Row],[TOTAL MW]]&lt;165,Table110[[#This Row],[MW Proyectada (Barra A)]],Table110[[#This Row],[MW Proyectada (Barra A)]]*165/Table110[[#This Row],[TOTAL MW]])</f>
        <v>#N/A</v>
      </c>
      <c r="N29" s="53" t="e">
        <f>IF(Table110[[#This Row],[TOTAL MW]]&lt;165,Table110[[#This Row],[MW Proyectada (Barra B)]],Table110[[#This Row],[MW Proyectada (Barra B)]]*165/Table110[[#This Row],[TOTAL MW]])</f>
        <v>#N/A</v>
      </c>
      <c r="P29" s="90"/>
      <c r="Q29" s="90"/>
      <c r="R29" s="93"/>
      <c r="S29" s="93"/>
    </row>
    <row r="30" spans="2:19" x14ac:dyDescent="0.25">
      <c r="B30" s="91">
        <f t="shared" si="1"/>
        <v>45584.20833333327</v>
      </c>
      <c r="C30" s="52">
        <f t="shared" si="2"/>
        <v>1.2083333333333333</v>
      </c>
      <c r="D30" s="92">
        <f>Table110[[#This Row],[Fecha]]</f>
        <v>45584.20833333327</v>
      </c>
      <c r="E30" s="53" t="e">
        <f>VLOOKUP(Table110[[#This Row],[FECHA /HORA]],TBL_CalcDarwin[],7,0)</f>
        <v>#N/A</v>
      </c>
      <c r="F30" s="53" t="e">
        <f>VLOOKUP(Table110[[#This Row],[FECHA /HORA]],TBL_CalcDarwin[],42,0)</f>
        <v>#N/A</v>
      </c>
      <c r="G30" s="53" t="e">
        <f>VLOOKUP(Table110[[#This Row],[FECHA /HORA]],TBL_CalcDarwin[],43,0)</f>
        <v>#N/A</v>
      </c>
      <c r="H30" s="53" t="e">
        <f>VLOOKUP(Table110[[#This Row],[FECHA /HORA]],TBL_CalcDarwin[],40,0)</f>
        <v>#N/A</v>
      </c>
      <c r="I30" s="53" t="e">
        <f>VLOOKUP(Table110[[#This Row],[FECHA /HORA]],TBL_CalcDarwin[],41,0)</f>
        <v>#N/A</v>
      </c>
      <c r="J30" s="53" t="e">
        <f>Table110[[#This Row],[MW Proyectada (Barra A)]]+Table110[[#This Row],[MW Proyectada (Barra B)]]</f>
        <v>#N/A</v>
      </c>
      <c r="L30" s="53" t="e">
        <f t="shared" si="0"/>
        <v>#N/A</v>
      </c>
      <c r="M30" s="53" t="e">
        <f>IF(Table110[[#This Row],[TOTAL MW]]&lt;165,Table110[[#This Row],[MW Proyectada (Barra A)]],Table110[[#This Row],[MW Proyectada (Barra A)]]*165/Table110[[#This Row],[TOTAL MW]])</f>
        <v>#N/A</v>
      </c>
      <c r="N30" s="53" t="e">
        <f>IF(Table110[[#This Row],[TOTAL MW]]&lt;165,Table110[[#This Row],[MW Proyectada (Barra B)]],Table110[[#This Row],[MW Proyectada (Barra B)]]*165/Table110[[#This Row],[TOTAL MW]])</f>
        <v>#N/A</v>
      </c>
      <c r="P30" s="90"/>
      <c r="Q30" s="90"/>
      <c r="R30" s="93"/>
      <c r="S30" s="93"/>
    </row>
    <row r="31" spans="2:19" x14ac:dyDescent="0.25">
      <c r="B31" s="91">
        <f t="shared" si="1"/>
        <v>45584.249999999935</v>
      </c>
      <c r="C31" s="52">
        <f t="shared" si="2"/>
        <v>1.25</v>
      </c>
      <c r="D31" s="92">
        <f>Table110[[#This Row],[Fecha]]</f>
        <v>45584.249999999935</v>
      </c>
      <c r="E31" s="53" t="e">
        <f>VLOOKUP(Table110[[#This Row],[FECHA /HORA]],TBL_CalcDarwin[],7,0)</f>
        <v>#N/A</v>
      </c>
      <c r="F31" s="53" t="e">
        <f>VLOOKUP(Table110[[#This Row],[FECHA /HORA]],TBL_CalcDarwin[],42,0)</f>
        <v>#N/A</v>
      </c>
      <c r="G31" s="53" t="e">
        <f>VLOOKUP(Table110[[#This Row],[FECHA /HORA]],TBL_CalcDarwin[],43,0)</f>
        <v>#N/A</v>
      </c>
      <c r="H31" s="53" t="e">
        <f>VLOOKUP(Table110[[#This Row],[FECHA /HORA]],TBL_CalcDarwin[],40,0)</f>
        <v>#N/A</v>
      </c>
      <c r="I31" s="53" t="e">
        <f>VLOOKUP(Table110[[#This Row],[FECHA /HORA]],TBL_CalcDarwin[],41,0)</f>
        <v>#N/A</v>
      </c>
      <c r="J31" s="53" t="e">
        <f>Table110[[#This Row],[MW Proyectada (Barra A)]]+Table110[[#This Row],[MW Proyectada (Barra B)]]</f>
        <v>#N/A</v>
      </c>
      <c r="L31" s="53" t="e">
        <f t="shared" si="0"/>
        <v>#N/A</v>
      </c>
      <c r="M31" s="53" t="e">
        <f>IF(Table110[[#This Row],[TOTAL MW]]&lt;165,Table110[[#This Row],[MW Proyectada (Barra A)]],Table110[[#This Row],[MW Proyectada (Barra A)]]*165/Table110[[#This Row],[TOTAL MW]])</f>
        <v>#N/A</v>
      </c>
      <c r="N31" s="53" t="e">
        <f>IF(Table110[[#This Row],[TOTAL MW]]&lt;165,Table110[[#This Row],[MW Proyectada (Barra B)]],Table110[[#This Row],[MW Proyectada (Barra B)]]*165/Table110[[#This Row],[TOTAL MW]])</f>
        <v>#N/A</v>
      </c>
      <c r="P31" s="90"/>
      <c r="Q31" s="90"/>
      <c r="R31" s="93"/>
      <c r="S31" s="93"/>
    </row>
    <row r="32" spans="2:19" x14ac:dyDescent="0.25">
      <c r="B32" s="91">
        <f t="shared" si="1"/>
        <v>45584.291666666599</v>
      </c>
      <c r="C32" s="52">
        <f t="shared" si="2"/>
        <v>1.2916666666666667</v>
      </c>
      <c r="D32" s="92">
        <f>Table110[[#This Row],[Fecha]]</f>
        <v>45584.291666666599</v>
      </c>
      <c r="E32" s="53" t="e">
        <f>VLOOKUP(Table110[[#This Row],[FECHA /HORA]],TBL_CalcDarwin[],7,0)</f>
        <v>#N/A</v>
      </c>
      <c r="F32" s="53" t="e">
        <f>VLOOKUP(Table110[[#This Row],[FECHA /HORA]],TBL_CalcDarwin[],42,0)</f>
        <v>#N/A</v>
      </c>
      <c r="G32" s="53" t="e">
        <f>VLOOKUP(Table110[[#This Row],[FECHA /HORA]],TBL_CalcDarwin[],43,0)</f>
        <v>#N/A</v>
      </c>
      <c r="H32" s="53" t="e">
        <f>VLOOKUP(Table110[[#This Row],[FECHA /HORA]],TBL_CalcDarwin[],40,0)</f>
        <v>#N/A</v>
      </c>
      <c r="I32" s="53" t="e">
        <f>VLOOKUP(Table110[[#This Row],[FECHA /HORA]],TBL_CalcDarwin[],41,0)</f>
        <v>#N/A</v>
      </c>
      <c r="J32" s="53" t="e">
        <f>Table110[[#This Row],[MW Proyectada (Barra A)]]+Table110[[#This Row],[MW Proyectada (Barra B)]]</f>
        <v>#N/A</v>
      </c>
      <c r="L32" s="53" t="e">
        <f t="shared" si="0"/>
        <v>#N/A</v>
      </c>
      <c r="M32" s="53" t="e">
        <f>IF(Table110[[#This Row],[TOTAL MW]]&lt;165,Table110[[#This Row],[MW Proyectada (Barra A)]],Table110[[#This Row],[MW Proyectada (Barra A)]]*165/Table110[[#This Row],[TOTAL MW]])</f>
        <v>#N/A</v>
      </c>
      <c r="N32" s="53" t="e">
        <f>IF(Table110[[#This Row],[TOTAL MW]]&lt;165,Table110[[#This Row],[MW Proyectada (Barra B)]],Table110[[#This Row],[MW Proyectada (Barra B)]]*165/Table110[[#This Row],[TOTAL MW]])</f>
        <v>#N/A</v>
      </c>
      <c r="P32" s="90"/>
      <c r="Q32" s="90"/>
      <c r="R32" s="93"/>
      <c r="S32" s="93"/>
    </row>
    <row r="33" spans="2:19" x14ac:dyDescent="0.25">
      <c r="B33" s="91">
        <f t="shared" si="1"/>
        <v>45584.333333333263</v>
      </c>
      <c r="C33" s="52">
        <f t="shared" si="2"/>
        <v>1.3333333333333335</v>
      </c>
      <c r="D33" s="92">
        <f>Table110[[#This Row],[Fecha]]</f>
        <v>45584.333333333263</v>
      </c>
      <c r="E33" s="53" t="e">
        <f>VLOOKUP(Table110[[#This Row],[FECHA /HORA]],TBL_CalcDarwin[],7,0)</f>
        <v>#N/A</v>
      </c>
      <c r="F33" s="53" t="e">
        <f>VLOOKUP(Table110[[#This Row],[FECHA /HORA]],TBL_CalcDarwin[],42,0)</f>
        <v>#N/A</v>
      </c>
      <c r="G33" s="53" t="e">
        <f>VLOOKUP(Table110[[#This Row],[FECHA /HORA]],TBL_CalcDarwin[],43,0)</f>
        <v>#N/A</v>
      </c>
      <c r="H33" s="53" t="e">
        <f>VLOOKUP(Table110[[#This Row],[FECHA /HORA]],TBL_CalcDarwin[],40,0)</f>
        <v>#N/A</v>
      </c>
      <c r="I33" s="53" t="e">
        <f>VLOOKUP(Table110[[#This Row],[FECHA /HORA]],TBL_CalcDarwin[],41,0)</f>
        <v>#N/A</v>
      </c>
      <c r="J33" s="53" t="e">
        <f>Table110[[#This Row],[MW Proyectada (Barra A)]]+Table110[[#This Row],[MW Proyectada (Barra B)]]</f>
        <v>#N/A</v>
      </c>
      <c r="L33" s="53" t="e">
        <f t="shared" si="0"/>
        <v>#N/A</v>
      </c>
      <c r="M33" s="53" t="e">
        <f>IF(Table110[[#This Row],[TOTAL MW]]&lt;165,Table110[[#This Row],[MW Proyectada (Barra A)]],Table110[[#This Row],[MW Proyectada (Barra A)]]*165/Table110[[#This Row],[TOTAL MW]])</f>
        <v>#N/A</v>
      </c>
      <c r="N33" s="53" t="e">
        <f>IF(Table110[[#This Row],[TOTAL MW]]&lt;165,Table110[[#This Row],[MW Proyectada (Barra B)]],Table110[[#This Row],[MW Proyectada (Barra B)]]*165/Table110[[#This Row],[TOTAL MW]])</f>
        <v>#N/A</v>
      </c>
      <c r="P33" s="90"/>
      <c r="Q33" s="90"/>
      <c r="R33" s="93"/>
      <c r="S33" s="93"/>
    </row>
    <row r="34" spans="2:19" x14ac:dyDescent="0.25">
      <c r="B34" s="91">
        <f t="shared" si="1"/>
        <v>45584.374999999927</v>
      </c>
      <c r="C34" s="52">
        <f t="shared" si="2"/>
        <v>1.3750000000000002</v>
      </c>
      <c r="D34" s="92">
        <f>Table110[[#This Row],[Fecha]]</f>
        <v>45584.374999999927</v>
      </c>
      <c r="E34" s="53" t="e">
        <f>VLOOKUP(Table110[[#This Row],[FECHA /HORA]],TBL_CalcDarwin[],7,0)</f>
        <v>#N/A</v>
      </c>
      <c r="F34" s="53" t="e">
        <f>VLOOKUP(Table110[[#This Row],[FECHA /HORA]],TBL_CalcDarwin[],42,0)</f>
        <v>#N/A</v>
      </c>
      <c r="G34" s="53" t="e">
        <f>VLOOKUP(Table110[[#This Row],[FECHA /HORA]],TBL_CalcDarwin[],43,0)</f>
        <v>#N/A</v>
      </c>
      <c r="H34" s="53" t="e">
        <f>VLOOKUP(Table110[[#This Row],[FECHA /HORA]],TBL_CalcDarwin[],40,0)</f>
        <v>#N/A</v>
      </c>
      <c r="I34" s="53" t="e">
        <f>VLOOKUP(Table110[[#This Row],[FECHA /HORA]],TBL_CalcDarwin[],41,0)</f>
        <v>#N/A</v>
      </c>
      <c r="J34" s="53" t="e">
        <f>Table110[[#This Row],[MW Proyectada (Barra A)]]+Table110[[#This Row],[MW Proyectada (Barra B)]]</f>
        <v>#N/A</v>
      </c>
      <c r="L34" s="53" t="e">
        <f t="shared" si="0"/>
        <v>#N/A</v>
      </c>
      <c r="M34" s="53" t="e">
        <f>IF(Table110[[#This Row],[TOTAL MW]]&lt;165,Table110[[#This Row],[MW Proyectada (Barra A)]],Table110[[#This Row],[MW Proyectada (Barra A)]]*165/Table110[[#This Row],[TOTAL MW]])</f>
        <v>#N/A</v>
      </c>
      <c r="N34" s="53" t="e">
        <f>IF(Table110[[#This Row],[TOTAL MW]]&lt;165,Table110[[#This Row],[MW Proyectada (Barra B)]],Table110[[#This Row],[MW Proyectada (Barra B)]]*165/Table110[[#This Row],[TOTAL MW]])</f>
        <v>#N/A</v>
      </c>
      <c r="P34" s="90"/>
      <c r="Q34" s="90"/>
      <c r="R34" s="93"/>
      <c r="S34" s="93"/>
    </row>
    <row r="35" spans="2:19" x14ac:dyDescent="0.25">
      <c r="B35" s="91">
        <f t="shared" si="1"/>
        <v>45584.416666666591</v>
      </c>
      <c r="C35" s="52">
        <f t="shared" si="2"/>
        <v>1.416666666666667</v>
      </c>
      <c r="D35" s="92">
        <f>Table110[[#This Row],[Fecha]]</f>
        <v>45584.416666666591</v>
      </c>
      <c r="E35" s="53" t="e">
        <f>VLOOKUP(Table110[[#This Row],[FECHA /HORA]],TBL_CalcDarwin[],7,0)</f>
        <v>#N/A</v>
      </c>
      <c r="F35" s="53" t="e">
        <f>VLOOKUP(Table110[[#This Row],[FECHA /HORA]],TBL_CalcDarwin[],42,0)</f>
        <v>#N/A</v>
      </c>
      <c r="G35" s="53" t="e">
        <f>VLOOKUP(Table110[[#This Row],[FECHA /HORA]],TBL_CalcDarwin[],43,0)</f>
        <v>#N/A</v>
      </c>
      <c r="H35" s="53" t="e">
        <f>VLOOKUP(Table110[[#This Row],[FECHA /HORA]],TBL_CalcDarwin[],40,0)</f>
        <v>#N/A</v>
      </c>
      <c r="I35" s="53" t="e">
        <f>VLOOKUP(Table110[[#This Row],[FECHA /HORA]],TBL_CalcDarwin[],41,0)</f>
        <v>#N/A</v>
      </c>
      <c r="J35" s="53" t="e">
        <f>Table110[[#This Row],[MW Proyectada (Barra A)]]+Table110[[#This Row],[MW Proyectada (Barra B)]]</f>
        <v>#N/A</v>
      </c>
      <c r="L35" s="53" t="e">
        <f t="shared" si="0"/>
        <v>#N/A</v>
      </c>
      <c r="M35" s="53" t="e">
        <f>IF(Table110[[#This Row],[TOTAL MW]]&lt;165,Table110[[#This Row],[MW Proyectada (Barra A)]],Table110[[#This Row],[MW Proyectada (Barra A)]]*165/Table110[[#This Row],[TOTAL MW]])</f>
        <v>#N/A</v>
      </c>
      <c r="N35" s="53" t="e">
        <f>IF(Table110[[#This Row],[TOTAL MW]]&lt;165,Table110[[#This Row],[MW Proyectada (Barra B)]],Table110[[#This Row],[MW Proyectada (Barra B)]]*165/Table110[[#This Row],[TOTAL MW]])</f>
        <v>#N/A</v>
      </c>
      <c r="P35" s="90"/>
      <c r="Q35" s="90"/>
      <c r="R35" s="93"/>
      <c r="S35" s="93"/>
    </row>
    <row r="36" spans="2:19" x14ac:dyDescent="0.25">
      <c r="B36" s="91">
        <f t="shared" si="1"/>
        <v>45584.458333333256</v>
      </c>
      <c r="C36" s="52">
        <f t="shared" si="2"/>
        <v>1.4583333333333337</v>
      </c>
      <c r="D36" s="92">
        <f>Table110[[#This Row],[Fecha]]</f>
        <v>45584.458333333256</v>
      </c>
      <c r="E36" s="53" t="e">
        <f>VLOOKUP(Table110[[#This Row],[FECHA /HORA]],TBL_CalcDarwin[],7,0)</f>
        <v>#N/A</v>
      </c>
      <c r="F36" s="53" t="e">
        <f>VLOOKUP(Table110[[#This Row],[FECHA /HORA]],TBL_CalcDarwin[],42,0)</f>
        <v>#N/A</v>
      </c>
      <c r="G36" s="53" t="e">
        <f>VLOOKUP(Table110[[#This Row],[FECHA /HORA]],TBL_CalcDarwin[],43,0)</f>
        <v>#N/A</v>
      </c>
      <c r="H36" s="53" t="e">
        <f>VLOOKUP(Table110[[#This Row],[FECHA /HORA]],TBL_CalcDarwin[],40,0)</f>
        <v>#N/A</v>
      </c>
      <c r="I36" s="53" t="e">
        <f>VLOOKUP(Table110[[#This Row],[FECHA /HORA]],TBL_CalcDarwin[],41,0)</f>
        <v>#N/A</v>
      </c>
      <c r="J36" s="53" t="e">
        <f>Table110[[#This Row],[MW Proyectada (Barra A)]]+Table110[[#This Row],[MW Proyectada (Barra B)]]</f>
        <v>#N/A</v>
      </c>
      <c r="L36" s="53" t="e">
        <f t="shared" si="0"/>
        <v>#N/A</v>
      </c>
      <c r="M36" s="53" t="e">
        <f>IF(Table110[[#This Row],[TOTAL MW]]&lt;165,Table110[[#This Row],[MW Proyectada (Barra A)]],Table110[[#This Row],[MW Proyectada (Barra A)]]*165/Table110[[#This Row],[TOTAL MW]])</f>
        <v>#N/A</v>
      </c>
      <c r="N36" s="53" t="e">
        <f>IF(Table110[[#This Row],[TOTAL MW]]&lt;165,Table110[[#This Row],[MW Proyectada (Barra B)]],Table110[[#This Row],[MW Proyectada (Barra B)]]*165/Table110[[#This Row],[TOTAL MW]])</f>
        <v>#N/A</v>
      </c>
      <c r="P36" s="90"/>
      <c r="Q36" s="90"/>
      <c r="R36" s="93"/>
      <c r="S36" s="93"/>
    </row>
    <row r="37" spans="2:19" x14ac:dyDescent="0.25">
      <c r="B37" s="91">
        <f t="shared" si="1"/>
        <v>45584.49999999992</v>
      </c>
      <c r="C37" s="52">
        <f t="shared" si="2"/>
        <v>1.5000000000000004</v>
      </c>
      <c r="D37" s="92">
        <f>Table110[[#This Row],[Fecha]]</f>
        <v>45584.49999999992</v>
      </c>
      <c r="E37" s="53" t="e">
        <f>VLOOKUP(Table110[[#This Row],[FECHA /HORA]],TBL_CalcDarwin[],7,0)</f>
        <v>#N/A</v>
      </c>
      <c r="F37" s="53" t="e">
        <f>VLOOKUP(Table110[[#This Row],[FECHA /HORA]],TBL_CalcDarwin[],42,0)</f>
        <v>#N/A</v>
      </c>
      <c r="G37" s="53" t="e">
        <f>VLOOKUP(Table110[[#This Row],[FECHA /HORA]],TBL_CalcDarwin[],43,0)</f>
        <v>#N/A</v>
      </c>
      <c r="H37" s="53" t="e">
        <f>VLOOKUP(Table110[[#This Row],[FECHA /HORA]],TBL_CalcDarwin[],40,0)</f>
        <v>#N/A</v>
      </c>
      <c r="I37" s="53" t="e">
        <f>VLOOKUP(Table110[[#This Row],[FECHA /HORA]],TBL_CalcDarwin[],41,0)</f>
        <v>#N/A</v>
      </c>
      <c r="J37" s="53" t="e">
        <f>Table110[[#This Row],[MW Proyectada (Barra A)]]+Table110[[#This Row],[MW Proyectada (Barra B)]]</f>
        <v>#N/A</v>
      </c>
      <c r="L37" s="53" t="e">
        <f t="shared" si="0"/>
        <v>#N/A</v>
      </c>
      <c r="M37" s="53" t="e">
        <f>IF(Table110[[#This Row],[TOTAL MW]]&lt;165,Table110[[#This Row],[MW Proyectada (Barra A)]],Table110[[#This Row],[MW Proyectada (Barra A)]]*165/Table110[[#This Row],[TOTAL MW]])</f>
        <v>#N/A</v>
      </c>
      <c r="N37" s="53" t="e">
        <f>IF(Table110[[#This Row],[TOTAL MW]]&lt;165,Table110[[#This Row],[MW Proyectada (Barra B)]],Table110[[#This Row],[MW Proyectada (Barra B)]]*165/Table110[[#This Row],[TOTAL MW]])</f>
        <v>#N/A</v>
      </c>
      <c r="P37" s="90"/>
      <c r="Q37" s="90"/>
      <c r="R37" s="93"/>
      <c r="S37" s="93"/>
    </row>
    <row r="38" spans="2:19" x14ac:dyDescent="0.25">
      <c r="B38" s="91">
        <f t="shared" si="1"/>
        <v>45584.541666666584</v>
      </c>
      <c r="C38" s="52">
        <f t="shared" si="2"/>
        <v>1.5416666666666672</v>
      </c>
      <c r="D38" s="92">
        <f>Table110[[#This Row],[Fecha]]</f>
        <v>45584.541666666584</v>
      </c>
      <c r="E38" s="53" t="e">
        <f>VLOOKUP(Table110[[#This Row],[FECHA /HORA]],TBL_CalcDarwin[],7,0)</f>
        <v>#N/A</v>
      </c>
      <c r="F38" s="53" t="e">
        <f>VLOOKUP(Table110[[#This Row],[FECHA /HORA]],TBL_CalcDarwin[],42,0)</f>
        <v>#N/A</v>
      </c>
      <c r="G38" s="53" t="e">
        <f>VLOOKUP(Table110[[#This Row],[FECHA /HORA]],TBL_CalcDarwin[],43,0)</f>
        <v>#N/A</v>
      </c>
      <c r="H38" s="53" t="e">
        <f>VLOOKUP(Table110[[#This Row],[FECHA /HORA]],TBL_CalcDarwin[],40,0)</f>
        <v>#N/A</v>
      </c>
      <c r="I38" s="53" t="e">
        <f>VLOOKUP(Table110[[#This Row],[FECHA /HORA]],TBL_CalcDarwin[],41,0)</f>
        <v>#N/A</v>
      </c>
      <c r="J38" s="53" t="e">
        <f>Table110[[#This Row],[MW Proyectada (Barra A)]]+Table110[[#This Row],[MW Proyectada (Barra B)]]</f>
        <v>#N/A</v>
      </c>
      <c r="L38" s="53" t="e">
        <f t="shared" si="0"/>
        <v>#N/A</v>
      </c>
      <c r="M38" s="53" t="e">
        <f>IF(Table110[[#This Row],[TOTAL MW]]&lt;165,Table110[[#This Row],[MW Proyectada (Barra A)]],Table110[[#This Row],[MW Proyectada (Barra A)]]*165/Table110[[#This Row],[TOTAL MW]])</f>
        <v>#N/A</v>
      </c>
      <c r="N38" s="53" t="e">
        <f>IF(Table110[[#This Row],[TOTAL MW]]&lt;165,Table110[[#This Row],[MW Proyectada (Barra B)]],Table110[[#This Row],[MW Proyectada (Barra B)]]*165/Table110[[#This Row],[TOTAL MW]])</f>
        <v>#N/A</v>
      </c>
      <c r="P38" s="90"/>
      <c r="Q38" s="90"/>
      <c r="R38" s="93"/>
      <c r="S38" s="93"/>
    </row>
    <row r="39" spans="2:19" x14ac:dyDescent="0.25">
      <c r="B39" s="91">
        <f t="shared" si="1"/>
        <v>45584.583333333248</v>
      </c>
      <c r="C39" s="52">
        <f t="shared" si="2"/>
        <v>1.5833333333333339</v>
      </c>
      <c r="D39" s="92">
        <f>Table110[[#This Row],[Fecha]]</f>
        <v>45584.583333333248</v>
      </c>
      <c r="E39" s="53" t="e">
        <f>VLOOKUP(Table110[[#This Row],[FECHA /HORA]],TBL_CalcDarwin[],7,0)</f>
        <v>#N/A</v>
      </c>
      <c r="F39" s="53" t="e">
        <f>VLOOKUP(Table110[[#This Row],[FECHA /HORA]],TBL_CalcDarwin[],42,0)</f>
        <v>#N/A</v>
      </c>
      <c r="G39" s="53" t="e">
        <f>VLOOKUP(Table110[[#This Row],[FECHA /HORA]],TBL_CalcDarwin[],43,0)</f>
        <v>#N/A</v>
      </c>
      <c r="H39" s="53" t="e">
        <f>VLOOKUP(Table110[[#This Row],[FECHA /HORA]],TBL_CalcDarwin[],40,0)</f>
        <v>#N/A</v>
      </c>
      <c r="I39" s="53" t="e">
        <f>VLOOKUP(Table110[[#This Row],[FECHA /HORA]],TBL_CalcDarwin[],41,0)</f>
        <v>#N/A</v>
      </c>
      <c r="J39" s="53" t="e">
        <f>Table110[[#This Row],[MW Proyectada (Barra A)]]+Table110[[#This Row],[MW Proyectada (Barra B)]]</f>
        <v>#N/A</v>
      </c>
      <c r="L39" s="53" t="e">
        <f t="shared" si="0"/>
        <v>#N/A</v>
      </c>
      <c r="M39" s="53" t="e">
        <f>IF(Table110[[#This Row],[TOTAL MW]]&lt;165,Table110[[#This Row],[MW Proyectada (Barra A)]],Table110[[#This Row],[MW Proyectada (Barra A)]]*165/Table110[[#This Row],[TOTAL MW]])</f>
        <v>#N/A</v>
      </c>
      <c r="N39" s="53" t="e">
        <f>IF(Table110[[#This Row],[TOTAL MW]]&lt;165,Table110[[#This Row],[MW Proyectada (Barra B)]],Table110[[#This Row],[MW Proyectada (Barra B)]]*165/Table110[[#This Row],[TOTAL MW]])</f>
        <v>#N/A</v>
      </c>
      <c r="P39" s="90"/>
      <c r="Q39" s="90"/>
      <c r="R39" s="93"/>
      <c r="S39" s="93"/>
    </row>
    <row r="40" spans="2:19" x14ac:dyDescent="0.25">
      <c r="B40" s="91">
        <f t="shared" si="1"/>
        <v>45584.624999999913</v>
      </c>
      <c r="C40" s="52">
        <f t="shared" si="2"/>
        <v>1.6250000000000007</v>
      </c>
      <c r="D40" s="92">
        <f>Table110[[#This Row],[Fecha]]</f>
        <v>45584.624999999913</v>
      </c>
      <c r="E40" s="53" t="e">
        <f>VLOOKUP(Table110[[#This Row],[FECHA /HORA]],TBL_CalcDarwin[],7,0)</f>
        <v>#N/A</v>
      </c>
      <c r="F40" s="53" t="e">
        <f>VLOOKUP(Table110[[#This Row],[FECHA /HORA]],TBL_CalcDarwin[],42,0)</f>
        <v>#N/A</v>
      </c>
      <c r="G40" s="53" t="e">
        <f>VLOOKUP(Table110[[#This Row],[FECHA /HORA]],TBL_CalcDarwin[],43,0)</f>
        <v>#N/A</v>
      </c>
      <c r="H40" s="53" t="e">
        <f>VLOOKUP(Table110[[#This Row],[FECHA /HORA]],TBL_CalcDarwin[],40,0)</f>
        <v>#N/A</v>
      </c>
      <c r="I40" s="53" t="e">
        <f>VLOOKUP(Table110[[#This Row],[FECHA /HORA]],TBL_CalcDarwin[],41,0)</f>
        <v>#N/A</v>
      </c>
      <c r="J40" s="53" t="e">
        <f>Table110[[#This Row],[MW Proyectada (Barra A)]]+Table110[[#This Row],[MW Proyectada (Barra B)]]</f>
        <v>#N/A</v>
      </c>
      <c r="L40" s="53" t="e">
        <f t="shared" si="0"/>
        <v>#N/A</v>
      </c>
      <c r="M40" s="53" t="e">
        <f>IF(Table110[[#This Row],[TOTAL MW]]&lt;165,Table110[[#This Row],[MW Proyectada (Barra A)]],Table110[[#This Row],[MW Proyectada (Barra A)]]*165/Table110[[#This Row],[TOTAL MW]])</f>
        <v>#N/A</v>
      </c>
      <c r="N40" s="53" t="e">
        <f>IF(Table110[[#This Row],[TOTAL MW]]&lt;165,Table110[[#This Row],[MW Proyectada (Barra B)]],Table110[[#This Row],[MW Proyectada (Barra B)]]*165/Table110[[#This Row],[TOTAL MW]])</f>
        <v>#N/A</v>
      </c>
      <c r="P40" s="90"/>
      <c r="Q40" s="90"/>
      <c r="R40" s="93"/>
      <c r="S40" s="93"/>
    </row>
    <row r="41" spans="2:19" x14ac:dyDescent="0.25">
      <c r="B41" s="91">
        <f t="shared" si="1"/>
        <v>45584.666666666577</v>
      </c>
      <c r="C41" s="52">
        <f t="shared" si="2"/>
        <v>1.6666666666666674</v>
      </c>
      <c r="D41" s="92">
        <f>Table110[[#This Row],[Fecha]]</f>
        <v>45584.666666666577</v>
      </c>
      <c r="E41" s="53" t="e">
        <f>VLOOKUP(Table110[[#This Row],[FECHA /HORA]],TBL_CalcDarwin[],7,0)</f>
        <v>#N/A</v>
      </c>
      <c r="F41" s="53" t="e">
        <f>VLOOKUP(Table110[[#This Row],[FECHA /HORA]],TBL_CalcDarwin[],42,0)</f>
        <v>#N/A</v>
      </c>
      <c r="G41" s="53" t="e">
        <f>VLOOKUP(Table110[[#This Row],[FECHA /HORA]],TBL_CalcDarwin[],43,0)</f>
        <v>#N/A</v>
      </c>
      <c r="H41" s="53" t="e">
        <f>VLOOKUP(Table110[[#This Row],[FECHA /HORA]],TBL_CalcDarwin[],40,0)</f>
        <v>#N/A</v>
      </c>
      <c r="I41" s="53" t="e">
        <f>VLOOKUP(Table110[[#This Row],[FECHA /HORA]],TBL_CalcDarwin[],41,0)</f>
        <v>#N/A</v>
      </c>
      <c r="J41" s="53" t="e">
        <f>Table110[[#This Row],[MW Proyectada (Barra A)]]+Table110[[#This Row],[MW Proyectada (Barra B)]]</f>
        <v>#N/A</v>
      </c>
      <c r="L41" s="53" t="e">
        <f t="shared" si="0"/>
        <v>#N/A</v>
      </c>
      <c r="M41" s="53" t="e">
        <f>IF(Table110[[#This Row],[TOTAL MW]]&lt;165,Table110[[#This Row],[MW Proyectada (Barra A)]],Table110[[#This Row],[MW Proyectada (Barra A)]]*165/Table110[[#This Row],[TOTAL MW]])</f>
        <v>#N/A</v>
      </c>
      <c r="N41" s="53" t="e">
        <f>IF(Table110[[#This Row],[TOTAL MW]]&lt;165,Table110[[#This Row],[MW Proyectada (Barra B)]],Table110[[#This Row],[MW Proyectada (Barra B)]]*165/Table110[[#This Row],[TOTAL MW]])</f>
        <v>#N/A</v>
      </c>
      <c r="P41" s="90"/>
      <c r="Q41" s="90"/>
      <c r="R41" s="93"/>
      <c r="S41" s="93"/>
    </row>
    <row r="42" spans="2:19" x14ac:dyDescent="0.25">
      <c r="B42" s="91">
        <f t="shared" si="1"/>
        <v>45584.708333333241</v>
      </c>
      <c r="C42" s="52">
        <f t="shared" si="2"/>
        <v>1.7083333333333341</v>
      </c>
      <c r="D42" s="92">
        <f>Table110[[#This Row],[Fecha]]</f>
        <v>45584.708333333241</v>
      </c>
      <c r="E42" s="53" t="e">
        <f>VLOOKUP(Table110[[#This Row],[FECHA /HORA]],TBL_CalcDarwin[],7,0)</f>
        <v>#N/A</v>
      </c>
      <c r="F42" s="53" t="e">
        <f>VLOOKUP(Table110[[#This Row],[FECHA /HORA]],TBL_CalcDarwin[],42,0)</f>
        <v>#N/A</v>
      </c>
      <c r="G42" s="53" t="e">
        <f>VLOOKUP(Table110[[#This Row],[FECHA /HORA]],TBL_CalcDarwin[],43,0)</f>
        <v>#N/A</v>
      </c>
      <c r="H42" s="53" t="e">
        <f>VLOOKUP(Table110[[#This Row],[FECHA /HORA]],TBL_CalcDarwin[],40,0)</f>
        <v>#N/A</v>
      </c>
      <c r="I42" s="53" t="e">
        <f>VLOOKUP(Table110[[#This Row],[FECHA /HORA]],TBL_CalcDarwin[],41,0)</f>
        <v>#N/A</v>
      </c>
      <c r="J42" s="53" t="e">
        <f>Table110[[#This Row],[MW Proyectada (Barra A)]]+Table110[[#This Row],[MW Proyectada (Barra B)]]</f>
        <v>#N/A</v>
      </c>
      <c r="L42" s="53" t="e">
        <f t="shared" si="0"/>
        <v>#N/A</v>
      </c>
      <c r="M42" s="53" t="e">
        <f>IF(Table110[[#This Row],[TOTAL MW]]&lt;165,Table110[[#This Row],[MW Proyectada (Barra A)]],Table110[[#This Row],[MW Proyectada (Barra A)]]*165/Table110[[#This Row],[TOTAL MW]])</f>
        <v>#N/A</v>
      </c>
      <c r="N42" s="53" t="e">
        <f>IF(Table110[[#This Row],[TOTAL MW]]&lt;165,Table110[[#This Row],[MW Proyectada (Barra B)]],Table110[[#This Row],[MW Proyectada (Barra B)]]*165/Table110[[#This Row],[TOTAL MW]])</f>
        <v>#N/A</v>
      </c>
      <c r="P42" s="90"/>
      <c r="Q42" s="90"/>
      <c r="R42" s="93"/>
      <c r="S42" s="93"/>
    </row>
    <row r="43" spans="2:19" x14ac:dyDescent="0.25">
      <c r="B43" s="91">
        <f t="shared" si="1"/>
        <v>45584.749999999905</v>
      </c>
      <c r="C43" s="52">
        <f t="shared" si="2"/>
        <v>1.7500000000000009</v>
      </c>
      <c r="D43" s="92">
        <f>Table110[[#This Row],[Fecha]]</f>
        <v>45584.749999999905</v>
      </c>
      <c r="E43" s="53" t="e">
        <f>VLOOKUP(Table110[[#This Row],[FECHA /HORA]],TBL_CalcDarwin[],7,0)</f>
        <v>#N/A</v>
      </c>
      <c r="F43" s="53" t="e">
        <f>VLOOKUP(Table110[[#This Row],[FECHA /HORA]],TBL_CalcDarwin[],42,0)</f>
        <v>#N/A</v>
      </c>
      <c r="G43" s="53" t="e">
        <f>VLOOKUP(Table110[[#This Row],[FECHA /HORA]],TBL_CalcDarwin[],43,0)</f>
        <v>#N/A</v>
      </c>
      <c r="H43" s="53" t="e">
        <f>VLOOKUP(Table110[[#This Row],[FECHA /HORA]],TBL_CalcDarwin[],40,0)</f>
        <v>#N/A</v>
      </c>
      <c r="I43" s="53" t="e">
        <f>VLOOKUP(Table110[[#This Row],[FECHA /HORA]],TBL_CalcDarwin[],41,0)</f>
        <v>#N/A</v>
      </c>
      <c r="J43" s="53" t="e">
        <f>Table110[[#This Row],[MW Proyectada (Barra A)]]+Table110[[#This Row],[MW Proyectada (Barra B)]]</f>
        <v>#N/A</v>
      </c>
      <c r="L43" s="53" t="e">
        <f t="shared" si="0"/>
        <v>#N/A</v>
      </c>
      <c r="M43" s="53" t="e">
        <f>IF(Table110[[#This Row],[TOTAL MW]]&lt;165,Table110[[#This Row],[MW Proyectada (Barra A)]],Table110[[#This Row],[MW Proyectada (Barra A)]]*165/Table110[[#This Row],[TOTAL MW]])</f>
        <v>#N/A</v>
      </c>
      <c r="N43" s="53" t="e">
        <f>IF(Table110[[#This Row],[TOTAL MW]]&lt;165,Table110[[#This Row],[MW Proyectada (Barra B)]],Table110[[#This Row],[MW Proyectada (Barra B)]]*165/Table110[[#This Row],[TOTAL MW]])</f>
        <v>#N/A</v>
      </c>
      <c r="P43" s="90"/>
      <c r="Q43" s="90"/>
      <c r="R43" s="93"/>
      <c r="S43" s="93"/>
    </row>
    <row r="44" spans="2:19" x14ac:dyDescent="0.25">
      <c r="B44" s="91">
        <f t="shared" si="1"/>
        <v>45584.79166666657</v>
      </c>
      <c r="C44" s="52">
        <f t="shared" si="2"/>
        <v>1.7916666666666676</v>
      </c>
      <c r="D44" s="92">
        <f>Table110[[#This Row],[Fecha]]</f>
        <v>45584.79166666657</v>
      </c>
      <c r="E44" s="53" t="e">
        <f>VLOOKUP(Table110[[#This Row],[FECHA /HORA]],TBL_CalcDarwin[],7,0)</f>
        <v>#N/A</v>
      </c>
      <c r="F44" s="53" t="e">
        <f>VLOOKUP(Table110[[#This Row],[FECHA /HORA]],TBL_CalcDarwin[],42,0)</f>
        <v>#N/A</v>
      </c>
      <c r="G44" s="53" t="e">
        <f>VLOOKUP(Table110[[#This Row],[FECHA /HORA]],TBL_CalcDarwin[],43,0)</f>
        <v>#N/A</v>
      </c>
      <c r="H44" s="53" t="e">
        <f>VLOOKUP(Table110[[#This Row],[FECHA /HORA]],TBL_CalcDarwin[],40,0)</f>
        <v>#N/A</v>
      </c>
      <c r="I44" s="53" t="e">
        <f>VLOOKUP(Table110[[#This Row],[FECHA /HORA]],TBL_CalcDarwin[],41,0)</f>
        <v>#N/A</v>
      </c>
      <c r="J44" s="53" t="e">
        <f>Table110[[#This Row],[MW Proyectada (Barra A)]]+Table110[[#This Row],[MW Proyectada (Barra B)]]</f>
        <v>#N/A</v>
      </c>
      <c r="L44" s="53" t="e">
        <f t="shared" si="0"/>
        <v>#N/A</v>
      </c>
      <c r="M44" s="53" t="e">
        <f>IF(Table110[[#This Row],[TOTAL MW]]&lt;165,Table110[[#This Row],[MW Proyectada (Barra A)]],Table110[[#This Row],[MW Proyectada (Barra A)]]*165/Table110[[#This Row],[TOTAL MW]])</f>
        <v>#N/A</v>
      </c>
      <c r="N44" s="53" t="e">
        <f>IF(Table110[[#This Row],[TOTAL MW]]&lt;165,Table110[[#This Row],[MW Proyectada (Barra B)]],Table110[[#This Row],[MW Proyectada (Barra B)]]*165/Table110[[#This Row],[TOTAL MW]])</f>
        <v>#N/A</v>
      </c>
      <c r="P44" s="90"/>
      <c r="Q44" s="90"/>
      <c r="R44" s="93"/>
      <c r="S44" s="93"/>
    </row>
    <row r="45" spans="2:19" x14ac:dyDescent="0.25">
      <c r="B45" s="91">
        <f t="shared" si="1"/>
        <v>45584.833333333234</v>
      </c>
      <c r="C45" s="52">
        <f t="shared" si="2"/>
        <v>1.8333333333333344</v>
      </c>
      <c r="D45" s="92">
        <f>Table110[[#This Row],[Fecha]]</f>
        <v>45584.833333333234</v>
      </c>
      <c r="E45" s="53" t="e">
        <f>VLOOKUP(Table110[[#This Row],[FECHA /HORA]],TBL_CalcDarwin[],7,0)</f>
        <v>#N/A</v>
      </c>
      <c r="F45" s="53" t="e">
        <f>VLOOKUP(Table110[[#This Row],[FECHA /HORA]],TBL_CalcDarwin[],42,0)</f>
        <v>#N/A</v>
      </c>
      <c r="G45" s="53" t="e">
        <f>VLOOKUP(Table110[[#This Row],[FECHA /HORA]],TBL_CalcDarwin[],43,0)</f>
        <v>#N/A</v>
      </c>
      <c r="H45" s="53" t="e">
        <f>VLOOKUP(Table110[[#This Row],[FECHA /HORA]],TBL_CalcDarwin[],40,0)</f>
        <v>#N/A</v>
      </c>
      <c r="I45" s="53" t="e">
        <f>VLOOKUP(Table110[[#This Row],[FECHA /HORA]],TBL_CalcDarwin[],41,0)</f>
        <v>#N/A</v>
      </c>
      <c r="J45" s="53" t="e">
        <f>Table110[[#This Row],[MW Proyectada (Barra A)]]+Table110[[#This Row],[MW Proyectada (Barra B)]]</f>
        <v>#N/A</v>
      </c>
      <c r="L45" s="53" t="e">
        <f t="shared" si="0"/>
        <v>#N/A</v>
      </c>
      <c r="M45" s="53" t="e">
        <f>IF(Table110[[#This Row],[TOTAL MW]]&lt;165,Table110[[#This Row],[MW Proyectada (Barra A)]],Table110[[#This Row],[MW Proyectada (Barra A)]]*165/Table110[[#This Row],[TOTAL MW]])</f>
        <v>#N/A</v>
      </c>
      <c r="N45" s="53" t="e">
        <f>IF(Table110[[#This Row],[TOTAL MW]]&lt;165,Table110[[#This Row],[MW Proyectada (Barra B)]],Table110[[#This Row],[MW Proyectada (Barra B)]]*165/Table110[[#This Row],[TOTAL MW]])</f>
        <v>#N/A</v>
      </c>
      <c r="P45" s="90"/>
      <c r="Q45" s="90"/>
      <c r="R45" s="93"/>
      <c r="S45" s="93"/>
    </row>
    <row r="46" spans="2:19" x14ac:dyDescent="0.25">
      <c r="B46" s="91">
        <f t="shared" si="1"/>
        <v>45584.874999999898</v>
      </c>
      <c r="C46" s="52">
        <f t="shared" si="2"/>
        <v>1.8750000000000011</v>
      </c>
      <c r="D46" s="92">
        <f>Table110[[#This Row],[Fecha]]</f>
        <v>45584.874999999898</v>
      </c>
      <c r="E46" s="53" t="e">
        <f>VLOOKUP(Table110[[#This Row],[FECHA /HORA]],TBL_CalcDarwin[],7,0)</f>
        <v>#N/A</v>
      </c>
      <c r="F46" s="53" t="e">
        <f>VLOOKUP(Table110[[#This Row],[FECHA /HORA]],TBL_CalcDarwin[],42,0)</f>
        <v>#N/A</v>
      </c>
      <c r="G46" s="53" t="e">
        <f>VLOOKUP(Table110[[#This Row],[FECHA /HORA]],TBL_CalcDarwin[],43,0)</f>
        <v>#N/A</v>
      </c>
      <c r="H46" s="53" t="e">
        <f>VLOOKUP(Table110[[#This Row],[FECHA /HORA]],TBL_CalcDarwin[],40,0)</f>
        <v>#N/A</v>
      </c>
      <c r="I46" s="53" t="e">
        <f>VLOOKUP(Table110[[#This Row],[FECHA /HORA]],TBL_CalcDarwin[],41,0)</f>
        <v>#N/A</v>
      </c>
      <c r="J46" s="53" t="e">
        <f>Table110[[#This Row],[MW Proyectada (Barra A)]]+Table110[[#This Row],[MW Proyectada (Barra B)]]</f>
        <v>#N/A</v>
      </c>
      <c r="L46" s="53" t="e">
        <f t="shared" si="0"/>
        <v>#N/A</v>
      </c>
      <c r="M46" s="53" t="e">
        <f>IF(Table110[[#This Row],[TOTAL MW]]&lt;165,Table110[[#This Row],[MW Proyectada (Barra A)]],Table110[[#This Row],[MW Proyectada (Barra A)]]*165/Table110[[#This Row],[TOTAL MW]])</f>
        <v>#N/A</v>
      </c>
      <c r="N46" s="53" t="e">
        <f>IF(Table110[[#This Row],[TOTAL MW]]&lt;165,Table110[[#This Row],[MW Proyectada (Barra B)]],Table110[[#This Row],[MW Proyectada (Barra B)]]*165/Table110[[#This Row],[TOTAL MW]])</f>
        <v>#N/A</v>
      </c>
      <c r="P46" s="90"/>
      <c r="Q46" s="90"/>
      <c r="R46" s="93"/>
      <c r="S46" s="93"/>
    </row>
    <row r="47" spans="2:19" x14ac:dyDescent="0.25">
      <c r="B47" s="91">
        <f t="shared" si="1"/>
        <v>45584.916666666562</v>
      </c>
      <c r="C47" s="52">
        <f t="shared" si="2"/>
        <v>1.9166666666666679</v>
      </c>
      <c r="D47" s="92">
        <f>Table110[[#This Row],[Fecha]]</f>
        <v>45584.916666666562</v>
      </c>
      <c r="E47" s="53" t="e">
        <f>VLOOKUP(Table110[[#This Row],[FECHA /HORA]],TBL_CalcDarwin[],7,0)</f>
        <v>#N/A</v>
      </c>
      <c r="F47" s="53" t="e">
        <f>VLOOKUP(Table110[[#This Row],[FECHA /HORA]],TBL_CalcDarwin[],42,0)</f>
        <v>#N/A</v>
      </c>
      <c r="G47" s="53" t="e">
        <f>VLOOKUP(Table110[[#This Row],[FECHA /HORA]],TBL_CalcDarwin[],43,0)</f>
        <v>#N/A</v>
      </c>
      <c r="H47" s="53" t="e">
        <f>VLOOKUP(Table110[[#This Row],[FECHA /HORA]],TBL_CalcDarwin[],40,0)</f>
        <v>#N/A</v>
      </c>
      <c r="I47" s="53" t="e">
        <f>VLOOKUP(Table110[[#This Row],[FECHA /HORA]],TBL_CalcDarwin[],41,0)</f>
        <v>#N/A</v>
      </c>
      <c r="J47" s="53" t="e">
        <f>Table110[[#This Row],[MW Proyectada (Barra A)]]+Table110[[#This Row],[MW Proyectada (Barra B)]]</f>
        <v>#N/A</v>
      </c>
      <c r="L47" s="53" t="e">
        <f t="shared" si="0"/>
        <v>#N/A</v>
      </c>
      <c r="M47" s="53" t="e">
        <f>IF(Table110[[#This Row],[TOTAL MW]]&lt;165,Table110[[#This Row],[MW Proyectada (Barra A)]],Table110[[#This Row],[MW Proyectada (Barra A)]]*165/Table110[[#This Row],[TOTAL MW]])</f>
        <v>#N/A</v>
      </c>
      <c r="N47" s="53" t="e">
        <f>IF(Table110[[#This Row],[TOTAL MW]]&lt;165,Table110[[#This Row],[MW Proyectada (Barra B)]],Table110[[#This Row],[MW Proyectada (Barra B)]]*165/Table110[[#This Row],[TOTAL MW]])</f>
        <v>#N/A</v>
      </c>
      <c r="P47" s="90"/>
      <c r="Q47" s="90"/>
      <c r="R47" s="93"/>
      <c r="S47" s="93"/>
    </row>
    <row r="48" spans="2:19" x14ac:dyDescent="0.25">
      <c r="B48" s="91">
        <f t="shared" si="1"/>
        <v>45584.958333333227</v>
      </c>
      <c r="C48" s="52">
        <f t="shared" si="2"/>
        <v>1.9583333333333346</v>
      </c>
      <c r="D48" s="92">
        <f>Table110[[#This Row],[Fecha]]</f>
        <v>45584.958333333227</v>
      </c>
      <c r="E48" s="53" t="e">
        <f>VLOOKUP(Table110[[#This Row],[FECHA /HORA]],TBL_CalcDarwin[],7,0)</f>
        <v>#N/A</v>
      </c>
      <c r="F48" s="53" t="e">
        <f>VLOOKUP(Table110[[#This Row],[FECHA /HORA]],TBL_CalcDarwin[],42,0)</f>
        <v>#N/A</v>
      </c>
      <c r="G48" s="53" t="e">
        <f>VLOOKUP(Table110[[#This Row],[FECHA /HORA]],TBL_CalcDarwin[],43,0)</f>
        <v>#N/A</v>
      </c>
      <c r="H48" s="53" t="e">
        <f>VLOOKUP(Table110[[#This Row],[FECHA /HORA]],TBL_CalcDarwin[],40,0)</f>
        <v>#N/A</v>
      </c>
      <c r="I48" s="53" t="e">
        <f>VLOOKUP(Table110[[#This Row],[FECHA /HORA]],TBL_CalcDarwin[],41,0)</f>
        <v>#N/A</v>
      </c>
      <c r="J48" s="53" t="e">
        <f>Table110[[#This Row],[MW Proyectada (Barra A)]]+Table110[[#This Row],[MW Proyectada (Barra B)]]</f>
        <v>#N/A</v>
      </c>
      <c r="L48" s="53" t="e">
        <f t="shared" si="0"/>
        <v>#N/A</v>
      </c>
      <c r="M48" s="53" t="e">
        <f>IF(Table110[[#This Row],[TOTAL MW]]&lt;165,Table110[[#This Row],[MW Proyectada (Barra A)]],Table110[[#This Row],[MW Proyectada (Barra A)]]*165/Table110[[#This Row],[TOTAL MW]])</f>
        <v>#N/A</v>
      </c>
      <c r="N48" s="53" t="e">
        <f>IF(Table110[[#This Row],[TOTAL MW]]&lt;165,Table110[[#This Row],[MW Proyectada (Barra B)]],Table110[[#This Row],[MW Proyectada (Barra B)]]*165/Table110[[#This Row],[TOTAL MW]])</f>
        <v>#N/A</v>
      </c>
      <c r="P48" s="90"/>
      <c r="Q48" s="90"/>
      <c r="R48" s="93"/>
      <c r="S48" s="93"/>
    </row>
    <row r="49" spans="2:19" x14ac:dyDescent="0.25">
      <c r="B49" s="91">
        <f t="shared" si="1"/>
        <v>45584.999999999891</v>
      </c>
      <c r="C49" s="52">
        <f t="shared" si="2"/>
        <v>2.0000000000000013</v>
      </c>
      <c r="D49" s="92">
        <f>Table110[[#This Row],[Fecha]]</f>
        <v>45584.999999999891</v>
      </c>
      <c r="E49" s="53" t="e">
        <f>VLOOKUP(Table110[[#This Row],[FECHA /HORA]],TBL_CalcDarwin[],7,0)</f>
        <v>#N/A</v>
      </c>
      <c r="F49" s="53" t="e">
        <f>VLOOKUP(Table110[[#This Row],[FECHA /HORA]],TBL_CalcDarwin[],42,0)</f>
        <v>#N/A</v>
      </c>
      <c r="G49" s="53" t="e">
        <f>VLOOKUP(Table110[[#This Row],[FECHA /HORA]],TBL_CalcDarwin[],43,0)</f>
        <v>#N/A</v>
      </c>
      <c r="H49" s="53" t="e">
        <f>VLOOKUP(Table110[[#This Row],[FECHA /HORA]],TBL_CalcDarwin[],40,0)</f>
        <v>#N/A</v>
      </c>
      <c r="I49" s="53" t="e">
        <f>VLOOKUP(Table110[[#This Row],[FECHA /HORA]],TBL_CalcDarwin[],41,0)</f>
        <v>#N/A</v>
      </c>
      <c r="J49" s="53" t="e">
        <f>Table110[[#This Row],[MW Proyectada (Barra A)]]+Table110[[#This Row],[MW Proyectada (Barra B)]]</f>
        <v>#N/A</v>
      </c>
      <c r="L49" s="53" t="e">
        <f t="shared" si="0"/>
        <v>#N/A</v>
      </c>
      <c r="M49" s="53" t="e">
        <f>IF(Table110[[#This Row],[TOTAL MW]]&lt;165,Table110[[#This Row],[MW Proyectada (Barra A)]],Table110[[#This Row],[MW Proyectada (Barra A)]]*165/Table110[[#This Row],[TOTAL MW]])</f>
        <v>#N/A</v>
      </c>
      <c r="N49" s="53" t="e">
        <f>IF(Table110[[#This Row],[TOTAL MW]]&lt;165,Table110[[#This Row],[MW Proyectada (Barra B)]],Table110[[#This Row],[MW Proyectada (Barra B)]]*165/Table110[[#This Row],[TOTAL MW]])</f>
        <v>#N/A</v>
      </c>
      <c r="P49" s="90"/>
      <c r="Q49" s="90"/>
      <c r="R49" s="93"/>
      <c r="S49" s="93"/>
    </row>
    <row r="50" spans="2:19" x14ac:dyDescent="0.25">
      <c r="B50" s="91">
        <f t="shared" si="1"/>
        <v>45585.041666666555</v>
      </c>
      <c r="C50" s="52">
        <f t="shared" si="2"/>
        <v>2.0416666666666679</v>
      </c>
      <c r="D50" s="92">
        <f>Table110[[#This Row],[Fecha]]</f>
        <v>45585.041666666555</v>
      </c>
      <c r="E50" s="53" t="e">
        <f>VLOOKUP(Table110[[#This Row],[FECHA /HORA]],TBL_CalcDarwin[],7,0)</f>
        <v>#N/A</v>
      </c>
      <c r="F50" s="53" t="e">
        <f>VLOOKUP(Table110[[#This Row],[FECHA /HORA]],TBL_CalcDarwin[],42,0)</f>
        <v>#N/A</v>
      </c>
      <c r="G50" s="53" t="e">
        <f>VLOOKUP(Table110[[#This Row],[FECHA /HORA]],TBL_CalcDarwin[],43,0)</f>
        <v>#N/A</v>
      </c>
      <c r="H50" s="53" t="e">
        <f>VLOOKUP(Table110[[#This Row],[FECHA /HORA]],TBL_CalcDarwin[],40,0)</f>
        <v>#N/A</v>
      </c>
      <c r="I50" s="53" t="e">
        <f>VLOOKUP(Table110[[#This Row],[FECHA /HORA]],TBL_CalcDarwin[],41,0)</f>
        <v>#N/A</v>
      </c>
      <c r="J50" s="53" t="e">
        <f>Table110[[#This Row],[MW Proyectada (Barra A)]]+Table110[[#This Row],[MW Proyectada (Barra B)]]</f>
        <v>#N/A</v>
      </c>
      <c r="L50" s="53" t="e">
        <f t="shared" si="0"/>
        <v>#N/A</v>
      </c>
      <c r="M50" s="53" t="e">
        <f>IF(Table110[[#This Row],[TOTAL MW]]&lt;165,Table110[[#This Row],[MW Proyectada (Barra A)]],Table110[[#This Row],[MW Proyectada (Barra A)]]*165/Table110[[#This Row],[TOTAL MW]])</f>
        <v>#N/A</v>
      </c>
      <c r="N50" s="53" t="e">
        <f>IF(Table110[[#This Row],[TOTAL MW]]&lt;165,Table110[[#This Row],[MW Proyectada (Barra B)]],Table110[[#This Row],[MW Proyectada (Barra B)]]*165/Table110[[#This Row],[TOTAL MW]])</f>
        <v>#N/A</v>
      </c>
      <c r="P50" s="90"/>
      <c r="Q50" s="90"/>
      <c r="R50" s="93"/>
      <c r="S50" s="93"/>
    </row>
    <row r="51" spans="2:19" x14ac:dyDescent="0.25">
      <c r="B51" s="91">
        <f t="shared" si="1"/>
        <v>45585.083333333219</v>
      </c>
      <c r="C51" s="52">
        <f t="shared" si="2"/>
        <v>2.0833333333333344</v>
      </c>
      <c r="D51" s="92">
        <f>Table110[[#This Row],[Fecha]]</f>
        <v>45585.083333333219</v>
      </c>
      <c r="E51" s="53" t="e">
        <f>VLOOKUP(Table110[[#This Row],[FECHA /HORA]],TBL_CalcDarwin[],7,0)</f>
        <v>#N/A</v>
      </c>
      <c r="F51" s="53" t="e">
        <f>VLOOKUP(Table110[[#This Row],[FECHA /HORA]],TBL_CalcDarwin[],42,0)</f>
        <v>#N/A</v>
      </c>
      <c r="G51" s="53" t="e">
        <f>VLOOKUP(Table110[[#This Row],[FECHA /HORA]],TBL_CalcDarwin[],43,0)</f>
        <v>#N/A</v>
      </c>
      <c r="H51" s="53" t="e">
        <f>VLOOKUP(Table110[[#This Row],[FECHA /HORA]],TBL_CalcDarwin[],40,0)</f>
        <v>#N/A</v>
      </c>
      <c r="I51" s="53" t="e">
        <f>VLOOKUP(Table110[[#This Row],[FECHA /HORA]],TBL_CalcDarwin[],41,0)</f>
        <v>#N/A</v>
      </c>
      <c r="J51" s="53" t="e">
        <f>Table110[[#This Row],[MW Proyectada (Barra A)]]+Table110[[#This Row],[MW Proyectada (Barra B)]]</f>
        <v>#N/A</v>
      </c>
      <c r="L51" s="53" t="e">
        <f t="shared" si="0"/>
        <v>#N/A</v>
      </c>
      <c r="M51" s="53" t="e">
        <f>IF(Table110[[#This Row],[TOTAL MW]]&lt;165,Table110[[#This Row],[MW Proyectada (Barra A)]],Table110[[#This Row],[MW Proyectada (Barra A)]]*165/Table110[[#This Row],[TOTAL MW]])</f>
        <v>#N/A</v>
      </c>
      <c r="N51" s="53" t="e">
        <f>IF(Table110[[#This Row],[TOTAL MW]]&lt;165,Table110[[#This Row],[MW Proyectada (Barra B)]],Table110[[#This Row],[MW Proyectada (Barra B)]]*165/Table110[[#This Row],[TOTAL MW]])</f>
        <v>#N/A</v>
      </c>
      <c r="P51" s="90"/>
      <c r="Q51" s="90"/>
      <c r="R51" s="93"/>
      <c r="S51" s="93"/>
    </row>
    <row r="52" spans="2:19" x14ac:dyDescent="0.25">
      <c r="B52" s="91">
        <f t="shared" si="1"/>
        <v>45585.124999999884</v>
      </c>
      <c r="C52" s="52">
        <f t="shared" si="2"/>
        <v>2.1250000000000009</v>
      </c>
      <c r="D52" s="92">
        <f>Table110[[#This Row],[Fecha]]</f>
        <v>45585.124999999884</v>
      </c>
      <c r="E52" s="53" t="e">
        <f>VLOOKUP(Table110[[#This Row],[FECHA /HORA]],TBL_CalcDarwin[],7,0)</f>
        <v>#N/A</v>
      </c>
      <c r="F52" s="53" t="e">
        <f>VLOOKUP(Table110[[#This Row],[FECHA /HORA]],TBL_CalcDarwin[],42,0)</f>
        <v>#N/A</v>
      </c>
      <c r="G52" s="53" t="e">
        <f>VLOOKUP(Table110[[#This Row],[FECHA /HORA]],TBL_CalcDarwin[],43,0)</f>
        <v>#N/A</v>
      </c>
      <c r="H52" s="53" t="e">
        <f>VLOOKUP(Table110[[#This Row],[FECHA /HORA]],TBL_CalcDarwin[],40,0)</f>
        <v>#N/A</v>
      </c>
      <c r="I52" s="53" t="e">
        <f>VLOOKUP(Table110[[#This Row],[FECHA /HORA]],TBL_CalcDarwin[],41,0)</f>
        <v>#N/A</v>
      </c>
      <c r="J52" s="53" t="e">
        <f>Table110[[#This Row],[MW Proyectada (Barra A)]]+Table110[[#This Row],[MW Proyectada (Barra B)]]</f>
        <v>#N/A</v>
      </c>
      <c r="L52" s="53" t="e">
        <f t="shared" si="0"/>
        <v>#N/A</v>
      </c>
      <c r="M52" s="53" t="e">
        <f>IF(Table110[[#This Row],[TOTAL MW]]&lt;165,Table110[[#This Row],[MW Proyectada (Barra A)]],Table110[[#This Row],[MW Proyectada (Barra A)]]*165/Table110[[#This Row],[TOTAL MW]])</f>
        <v>#N/A</v>
      </c>
      <c r="N52" s="53" t="e">
        <f>IF(Table110[[#This Row],[TOTAL MW]]&lt;165,Table110[[#This Row],[MW Proyectada (Barra B)]],Table110[[#This Row],[MW Proyectada (Barra B)]]*165/Table110[[#This Row],[TOTAL MW]])</f>
        <v>#N/A</v>
      </c>
      <c r="P52" s="90"/>
      <c r="Q52" s="90"/>
      <c r="R52" s="93"/>
      <c r="S52" s="93"/>
    </row>
    <row r="53" spans="2:19" x14ac:dyDescent="0.25">
      <c r="B53" s="91">
        <f t="shared" si="1"/>
        <v>45585.166666666548</v>
      </c>
      <c r="C53" s="52">
        <f t="shared" si="2"/>
        <v>2.1666666666666674</v>
      </c>
      <c r="D53" s="92">
        <f>Table110[[#This Row],[Fecha]]</f>
        <v>45585.166666666548</v>
      </c>
      <c r="E53" s="53" t="e">
        <f>VLOOKUP(Table110[[#This Row],[FECHA /HORA]],TBL_CalcDarwin[],7,0)</f>
        <v>#N/A</v>
      </c>
      <c r="F53" s="53" t="e">
        <f>VLOOKUP(Table110[[#This Row],[FECHA /HORA]],TBL_CalcDarwin[],42,0)</f>
        <v>#N/A</v>
      </c>
      <c r="G53" s="53" t="e">
        <f>VLOOKUP(Table110[[#This Row],[FECHA /HORA]],TBL_CalcDarwin[],43,0)</f>
        <v>#N/A</v>
      </c>
      <c r="H53" s="53" t="e">
        <f>VLOOKUP(Table110[[#This Row],[FECHA /HORA]],TBL_CalcDarwin[],40,0)</f>
        <v>#N/A</v>
      </c>
      <c r="I53" s="53" t="e">
        <f>VLOOKUP(Table110[[#This Row],[FECHA /HORA]],TBL_CalcDarwin[],41,0)</f>
        <v>#N/A</v>
      </c>
      <c r="J53" s="53" t="e">
        <f>Table110[[#This Row],[MW Proyectada (Barra A)]]+Table110[[#This Row],[MW Proyectada (Barra B)]]</f>
        <v>#N/A</v>
      </c>
      <c r="L53" s="53" t="e">
        <f t="shared" si="0"/>
        <v>#N/A</v>
      </c>
      <c r="M53" s="53" t="e">
        <f>IF(Table110[[#This Row],[TOTAL MW]]&lt;165,Table110[[#This Row],[MW Proyectada (Barra A)]],Table110[[#This Row],[MW Proyectada (Barra A)]]*165/Table110[[#This Row],[TOTAL MW]])</f>
        <v>#N/A</v>
      </c>
      <c r="N53" s="53" t="e">
        <f>IF(Table110[[#This Row],[TOTAL MW]]&lt;165,Table110[[#This Row],[MW Proyectada (Barra B)]],Table110[[#This Row],[MW Proyectada (Barra B)]]*165/Table110[[#This Row],[TOTAL MW]])</f>
        <v>#N/A</v>
      </c>
      <c r="P53" s="90"/>
      <c r="Q53" s="90"/>
      <c r="R53" s="93"/>
      <c r="S53" s="93"/>
    </row>
    <row r="54" spans="2:19" x14ac:dyDescent="0.25">
      <c r="B54" s="91">
        <f t="shared" si="1"/>
        <v>45585.208333333212</v>
      </c>
      <c r="C54" s="52">
        <f t="shared" si="2"/>
        <v>2.2083333333333339</v>
      </c>
      <c r="D54" s="92">
        <f>Table110[[#This Row],[Fecha]]</f>
        <v>45585.208333333212</v>
      </c>
      <c r="E54" s="53" t="e">
        <f>VLOOKUP(Table110[[#This Row],[FECHA /HORA]],TBL_CalcDarwin[],7,0)</f>
        <v>#N/A</v>
      </c>
      <c r="F54" s="53" t="e">
        <f>VLOOKUP(Table110[[#This Row],[FECHA /HORA]],TBL_CalcDarwin[],42,0)</f>
        <v>#N/A</v>
      </c>
      <c r="G54" s="53" t="e">
        <f>VLOOKUP(Table110[[#This Row],[FECHA /HORA]],TBL_CalcDarwin[],43,0)</f>
        <v>#N/A</v>
      </c>
      <c r="H54" s="53" t="e">
        <f>VLOOKUP(Table110[[#This Row],[FECHA /HORA]],TBL_CalcDarwin[],40,0)</f>
        <v>#N/A</v>
      </c>
      <c r="I54" s="53" t="e">
        <f>VLOOKUP(Table110[[#This Row],[FECHA /HORA]],TBL_CalcDarwin[],41,0)</f>
        <v>#N/A</v>
      </c>
      <c r="J54" s="53" t="e">
        <f>Table110[[#This Row],[MW Proyectada (Barra A)]]+Table110[[#This Row],[MW Proyectada (Barra B)]]</f>
        <v>#N/A</v>
      </c>
      <c r="L54" s="53" t="e">
        <f t="shared" si="0"/>
        <v>#N/A</v>
      </c>
      <c r="M54" s="53" t="e">
        <f>IF(Table110[[#This Row],[TOTAL MW]]&lt;165,Table110[[#This Row],[MW Proyectada (Barra A)]],Table110[[#This Row],[MW Proyectada (Barra A)]]*165/Table110[[#This Row],[TOTAL MW]])</f>
        <v>#N/A</v>
      </c>
      <c r="N54" s="53" t="e">
        <f>IF(Table110[[#This Row],[TOTAL MW]]&lt;165,Table110[[#This Row],[MW Proyectada (Barra B)]],Table110[[#This Row],[MW Proyectada (Barra B)]]*165/Table110[[#This Row],[TOTAL MW]])</f>
        <v>#N/A</v>
      </c>
      <c r="P54" s="90"/>
      <c r="Q54" s="90"/>
      <c r="R54" s="93"/>
      <c r="S54" s="93"/>
    </row>
    <row r="55" spans="2:19" x14ac:dyDescent="0.25">
      <c r="B55" s="91">
        <f t="shared" si="1"/>
        <v>45585.249999999876</v>
      </c>
      <c r="C55" s="52">
        <f t="shared" si="2"/>
        <v>2.2500000000000004</v>
      </c>
      <c r="D55" s="92">
        <f>Table110[[#This Row],[Fecha]]</f>
        <v>45585.249999999876</v>
      </c>
      <c r="E55" s="53" t="e">
        <f>VLOOKUP(Table110[[#This Row],[FECHA /HORA]],TBL_CalcDarwin[],7,0)</f>
        <v>#N/A</v>
      </c>
      <c r="F55" s="53" t="e">
        <f>VLOOKUP(Table110[[#This Row],[FECHA /HORA]],TBL_CalcDarwin[],42,0)</f>
        <v>#N/A</v>
      </c>
      <c r="G55" s="53" t="e">
        <f>VLOOKUP(Table110[[#This Row],[FECHA /HORA]],TBL_CalcDarwin[],43,0)</f>
        <v>#N/A</v>
      </c>
      <c r="H55" s="53" t="e">
        <f>VLOOKUP(Table110[[#This Row],[FECHA /HORA]],TBL_CalcDarwin[],40,0)</f>
        <v>#N/A</v>
      </c>
      <c r="I55" s="53" t="e">
        <f>VLOOKUP(Table110[[#This Row],[FECHA /HORA]],TBL_CalcDarwin[],41,0)</f>
        <v>#N/A</v>
      </c>
      <c r="J55" s="53" t="e">
        <f>Table110[[#This Row],[MW Proyectada (Barra A)]]+Table110[[#This Row],[MW Proyectada (Barra B)]]</f>
        <v>#N/A</v>
      </c>
      <c r="L55" s="53" t="e">
        <f t="shared" si="0"/>
        <v>#N/A</v>
      </c>
      <c r="M55" s="53" t="e">
        <f>IF(Table110[[#This Row],[TOTAL MW]]&lt;165,Table110[[#This Row],[MW Proyectada (Barra A)]],Table110[[#This Row],[MW Proyectada (Barra A)]]*165/Table110[[#This Row],[TOTAL MW]])</f>
        <v>#N/A</v>
      </c>
      <c r="N55" s="53" t="e">
        <f>IF(Table110[[#This Row],[TOTAL MW]]&lt;165,Table110[[#This Row],[MW Proyectada (Barra B)]],Table110[[#This Row],[MW Proyectada (Barra B)]]*165/Table110[[#This Row],[TOTAL MW]])</f>
        <v>#N/A</v>
      </c>
      <c r="P55" s="90"/>
      <c r="Q55" s="90"/>
      <c r="R55" s="93"/>
      <c r="S55" s="93"/>
    </row>
    <row r="56" spans="2:19" x14ac:dyDescent="0.25">
      <c r="B56" s="91">
        <f t="shared" si="1"/>
        <v>45585.291666666541</v>
      </c>
      <c r="C56" s="52">
        <f t="shared" si="2"/>
        <v>2.291666666666667</v>
      </c>
      <c r="D56" s="92">
        <f>Table110[[#This Row],[Fecha]]</f>
        <v>45585.291666666541</v>
      </c>
      <c r="E56" s="53" t="e">
        <f>VLOOKUP(Table110[[#This Row],[FECHA /HORA]],TBL_CalcDarwin[],7,0)</f>
        <v>#N/A</v>
      </c>
      <c r="F56" s="53" t="e">
        <f>VLOOKUP(Table110[[#This Row],[FECHA /HORA]],TBL_CalcDarwin[],42,0)</f>
        <v>#N/A</v>
      </c>
      <c r="G56" s="53" t="e">
        <f>VLOOKUP(Table110[[#This Row],[FECHA /HORA]],TBL_CalcDarwin[],43,0)</f>
        <v>#N/A</v>
      </c>
      <c r="H56" s="53" t="e">
        <f>VLOOKUP(Table110[[#This Row],[FECHA /HORA]],TBL_CalcDarwin[],40,0)</f>
        <v>#N/A</v>
      </c>
      <c r="I56" s="53" t="e">
        <f>VLOOKUP(Table110[[#This Row],[FECHA /HORA]],TBL_CalcDarwin[],41,0)</f>
        <v>#N/A</v>
      </c>
      <c r="J56" s="53" t="e">
        <f>Table110[[#This Row],[MW Proyectada (Barra A)]]+Table110[[#This Row],[MW Proyectada (Barra B)]]</f>
        <v>#N/A</v>
      </c>
      <c r="L56" s="53" t="e">
        <f t="shared" si="0"/>
        <v>#N/A</v>
      </c>
      <c r="M56" s="53" t="e">
        <f>IF(Table110[[#This Row],[TOTAL MW]]&lt;165,Table110[[#This Row],[MW Proyectada (Barra A)]],Table110[[#This Row],[MW Proyectada (Barra A)]]*165/Table110[[#This Row],[TOTAL MW]])</f>
        <v>#N/A</v>
      </c>
      <c r="N56" s="53" t="e">
        <f>IF(Table110[[#This Row],[TOTAL MW]]&lt;165,Table110[[#This Row],[MW Proyectada (Barra B)]],Table110[[#This Row],[MW Proyectada (Barra B)]]*165/Table110[[#This Row],[TOTAL MW]])</f>
        <v>#N/A</v>
      </c>
      <c r="P56" s="90"/>
      <c r="Q56" s="90"/>
      <c r="R56" s="93"/>
      <c r="S56" s="93"/>
    </row>
    <row r="57" spans="2:19" x14ac:dyDescent="0.25">
      <c r="B57" s="91">
        <f t="shared" si="1"/>
        <v>45585.333333333205</v>
      </c>
      <c r="C57" s="52">
        <f t="shared" si="2"/>
        <v>2.3333333333333335</v>
      </c>
      <c r="D57" s="92">
        <f>Table110[[#This Row],[Fecha]]</f>
        <v>45585.333333333205</v>
      </c>
      <c r="E57" s="53" t="e">
        <f>VLOOKUP(Table110[[#This Row],[FECHA /HORA]],TBL_CalcDarwin[],7,0)</f>
        <v>#N/A</v>
      </c>
      <c r="F57" s="53" t="e">
        <f>VLOOKUP(Table110[[#This Row],[FECHA /HORA]],TBL_CalcDarwin[],42,0)</f>
        <v>#N/A</v>
      </c>
      <c r="G57" s="53" t="e">
        <f>VLOOKUP(Table110[[#This Row],[FECHA /HORA]],TBL_CalcDarwin[],43,0)</f>
        <v>#N/A</v>
      </c>
      <c r="H57" s="53" t="e">
        <f>VLOOKUP(Table110[[#This Row],[FECHA /HORA]],TBL_CalcDarwin[],40,0)</f>
        <v>#N/A</v>
      </c>
      <c r="I57" s="53" t="e">
        <f>VLOOKUP(Table110[[#This Row],[FECHA /HORA]],TBL_CalcDarwin[],41,0)</f>
        <v>#N/A</v>
      </c>
      <c r="J57" s="53" t="e">
        <f>Table110[[#This Row],[MW Proyectada (Barra A)]]+Table110[[#This Row],[MW Proyectada (Barra B)]]</f>
        <v>#N/A</v>
      </c>
      <c r="L57" s="53" t="e">
        <f t="shared" si="0"/>
        <v>#N/A</v>
      </c>
      <c r="M57" s="53" t="e">
        <f>IF(Table110[[#This Row],[TOTAL MW]]&lt;165,Table110[[#This Row],[MW Proyectada (Barra A)]],Table110[[#This Row],[MW Proyectada (Barra A)]]*165/Table110[[#This Row],[TOTAL MW]])</f>
        <v>#N/A</v>
      </c>
      <c r="N57" s="53" t="e">
        <f>IF(Table110[[#This Row],[TOTAL MW]]&lt;165,Table110[[#This Row],[MW Proyectada (Barra B)]],Table110[[#This Row],[MW Proyectada (Barra B)]]*165/Table110[[#This Row],[TOTAL MW]])</f>
        <v>#N/A</v>
      </c>
      <c r="P57" s="90"/>
      <c r="Q57" s="90"/>
      <c r="R57" s="93"/>
      <c r="S57" s="93"/>
    </row>
    <row r="58" spans="2:19" x14ac:dyDescent="0.25">
      <c r="B58" s="91">
        <f t="shared" si="1"/>
        <v>45585.374999999869</v>
      </c>
      <c r="C58" s="52">
        <f t="shared" si="2"/>
        <v>2.375</v>
      </c>
      <c r="D58" s="92">
        <f>Table110[[#This Row],[Fecha]]</f>
        <v>45585.374999999869</v>
      </c>
      <c r="E58" s="53" t="e">
        <f>VLOOKUP(Table110[[#This Row],[FECHA /HORA]],TBL_CalcDarwin[],7,0)</f>
        <v>#N/A</v>
      </c>
      <c r="F58" s="53" t="e">
        <f>VLOOKUP(Table110[[#This Row],[FECHA /HORA]],TBL_CalcDarwin[],42,0)</f>
        <v>#N/A</v>
      </c>
      <c r="G58" s="53" t="e">
        <f>VLOOKUP(Table110[[#This Row],[FECHA /HORA]],TBL_CalcDarwin[],43,0)</f>
        <v>#N/A</v>
      </c>
      <c r="H58" s="53" t="e">
        <f>VLOOKUP(Table110[[#This Row],[FECHA /HORA]],TBL_CalcDarwin[],40,0)</f>
        <v>#N/A</v>
      </c>
      <c r="I58" s="53" t="e">
        <f>VLOOKUP(Table110[[#This Row],[FECHA /HORA]],TBL_CalcDarwin[],41,0)</f>
        <v>#N/A</v>
      </c>
      <c r="J58" s="53" t="e">
        <f>Table110[[#This Row],[MW Proyectada (Barra A)]]+Table110[[#This Row],[MW Proyectada (Barra B)]]</f>
        <v>#N/A</v>
      </c>
      <c r="L58" s="53" t="e">
        <f t="shared" si="0"/>
        <v>#N/A</v>
      </c>
      <c r="M58" s="53" t="e">
        <f>IF(Table110[[#This Row],[TOTAL MW]]&lt;165,Table110[[#This Row],[MW Proyectada (Barra A)]],Table110[[#This Row],[MW Proyectada (Barra A)]]*165/Table110[[#This Row],[TOTAL MW]])</f>
        <v>#N/A</v>
      </c>
      <c r="N58" s="53" t="e">
        <f>IF(Table110[[#This Row],[TOTAL MW]]&lt;165,Table110[[#This Row],[MW Proyectada (Barra B)]],Table110[[#This Row],[MW Proyectada (Barra B)]]*165/Table110[[#This Row],[TOTAL MW]])</f>
        <v>#N/A</v>
      </c>
      <c r="P58" s="90"/>
      <c r="Q58" s="90"/>
      <c r="R58" s="93"/>
      <c r="S58" s="93"/>
    </row>
    <row r="59" spans="2:19" x14ac:dyDescent="0.25">
      <c r="B59" s="91">
        <f t="shared" si="1"/>
        <v>45585.416666666533</v>
      </c>
      <c r="C59" s="52">
        <f t="shared" si="2"/>
        <v>2.4166666666666665</v>
      </c>
      <c r="D59" s="92">
        <f>Table110[[#This Row],[Fecha]]</f>
        <v>45585.416666666533</v>
      </c>
      <c r="E59" s="53" t="e">
        <f>VLOOKUP(Table110[[#This Row],[FECHA /HORA]],TBL_CalcDarwin[],7,0)</f>
        <v>#N/A</v>
      </c>
      <c r="F59" s="53" t="e">
        <f>VLOOKUP(Table110[[#This Row],[FECHA /HORA]],TBL_CalcDarwin[],42,0)</f>
        <v>#N/A</v>
      </c>
      <c r="G59" s="53" t="e">
        <f>VLOOKUP(Table110[[#This Row],[FECHA /HORA]],TBL_CalcDarwin[],43,0)</f>
        <v>#N/A</v>
      </c>
      <c r="H59" s="53" t="e">
        <f>VLOOKUP(Table110[[#This Row],[FECHA /HORA]],TBL_CalcDarwin[],40,0)</f>
        <v>#N/A</v>
      </c>
      <c r="I59" s="53" t="e">
        <f>VLOOKUP(Table110[[#This Row],[FECHA /HORA]],TBL_CalcDarwin[],41,0)</f>
        <v>#N/A</v>
      </c>
      <c r="J59" s="53" t="e">
        <f>Table110[[#This Row],[MW Proyectada (Barra A)]]+Table110[[#This Row],[MW Proyectada (Barra B)]]</f>
        <v>#N/A</v>
      </c>
      <c r="L59" s="53" t="e">
        <f t="shared" si="0"/>
        <v>#N/A</v>
      </c>
      <c r="M59" s="53" t="e">
        <f>IF(Table110[[#This Row],[TOTAL MW]]&lt;165,Table110[[#This Row],[MW Proyectada (Barra A)]],Table110[[#This Row],[MW Proyectada (Barra A)]]*165/Table110[[#This Row],[TOTAL MW]])</f>
        <v>#N/A</v>
      </c>
      <c r="N59" s="53" t="e">
        <f>IF(Table110[[#This Row],[TOTAL MW]]&lt;165,Table110[[#This Row],[MW Proyectada (Barra B)]],Table110[[#This Row],[MW Proyectada (Barra B)]]*165/Table110[[#This Row],[TOTAL MW]])</f>
        <v>#N/A</v>
      </c>
      <c r="P59" s="90"/>
      <c r="Q59" s="90"/>
      <c r="R59" s="93"/>
      <c r="S59" s="93"/>
    </row>
    <row r="60" spans="2:19" x14ac:dyDescent="0.25">
      <c r="B60" s="91">
        <f t="shared" si="1"/>
        <v>45585.458333333198</v>
      </c>
      <c r="C60" s="52">
        <f t="shared" si="2"/>
        <v>2.458333333333333</v>
      </c>
      <c r="D60" s="92">
        <f>Table110[[#This Row],[Fecha]]</f>
        <v>45585.458333333198</v>
      </c>
      <c r="E60" s="53" t="e">
        <f>VLOOKUP(Table110[[#This Row],[FECHA /HORA]],TBL_CalcDarwin[],7,0)</f>
        <v>#N/A</v>
      </c>
      <c r="F60" s="53" t="e">
        <f>VLOOKUP(Table110[[#This Row],[FECHA /HORA]],TBL_CalcDarwin[],42,0)</f>
        <v>#N/A</v>
      </c>
      <c r="G60" s="53" t="e">
        <f>VLOOKUP(Table110[[#This Row],[FECHA /HORA]],TBL_CalcDarwin[],43,0)</f>
        <v>#N/A</v>
      </c>
      <c r="H60" s="53" t="e">
        <f>VLOOKUP(Table110[[#This Row],[FECHA /HORA]],TBL_CalcDarwin[],40,0)</f>
        <v>#N/A</v>
      </c>
      <c r="I60" s="53" t="e">
        <f>VLOOKUP(Table110[[#This Row],[FECHA /HORA]],TBL_CalcDarwin[],41,0)</f>
        <v>#N/A</v>
      </c>
      <c r="J60" s="53" t="e">
        <f>Table110[[#This Row],[MW Proyectada (Barra A)]]+Table110[[#This Row],[MW Proyectada (Barra B)]]</f>
        <v>#N/A</v>
      </c>
      <c r="L60" s="53" t="e">
        <f t="shared" si="0"/>
        <v>#N/A</v>
      </c>
      <c r="M60" s="53" t="e">
        <f>IF(Table110[[#This Row],[TOTAL MW]]&lt;165,Table110[[#This Row],[MW Proyectada (Barra A)]],Table110[[#This Row],[MW Proyectada (Barra A)]]*165/Table110[[#This Row],[TOTAL MW]])</f>
        <v>#N/A</v>
      </c>
      <c r="N60" s="53" t="e">
        <f>IF(Table110[[#This Row],[TOTAL MW]]&lt;165,Table110[[#This Row],[MW Proyectada (Barra B)]],Table110[[#This Row],[MW Proyectada (Barra B)]]*165/Table110[[#This Row],[TOTAL MW]])</f>
        <v>#N/A</v>
      </c>
      <c r="P60" s="90"/>
      <c r="Q60" s="90"/>
      <c r="R60" s="93"/>
      <c r="S60" s="93"/>
    </row>
    <row r="61" spans="2:19" x14ac:dyDescent="0.25">
      <c r="B61" s="91">
        <f t="shared" si="1"/>
        <v>45585.499999999862</v>
      </c>
      <c r="C61" s="52">
        <f t="shared" si="2"/>
        <v>2.4999999999999996</v>
      </c>
      <c r="D61" s="92">
        <f>Table110[[#This Row],[Fecha]]</f>
        <v>45585.499999999862</v>
      </c>
      <c r="E61" s="53" t="e">
        <f>VLOOKUP(Table110[[#This Row],[FECHA /HORA]],TBL_CalcDarwin[],7,0)</f>
        <v>#N/A</v>
      </c>
      <c r="F61" s="53" t="e">
        <f>VLOOKUP(Table110[[#This Row],[FECHA /HORA]],TBL_CalcDarwin[],42,0)</f>
        <v>#N/A</v>
      </c>
      <c r="G61" s="53" t="e">
        <f>VLOOKUP(Table110[[#This Row],[FECHA /HORA]],TBL_CalcDarwin[],43,0)</f>
        <v>#N/A</v>
      </c>
      <c r="H61" s="53" t="e">
        <f>VLOOKUP(Table110[[#This Row],[FECHA /HORA]],TBL_CalcDarwin[],40,0)</f>
        <v>#N/A</v>
      </c>
      <c r="I61" s="53" t="e">
        <f>VLOOKUP(Table110[[#This Row],[FECHA /HORA]],TBL_CalcDarwin[],41,0)</f>
        <v>#N/A</v>
      </c>
      <c r="J61" s="53" t="e">
        <f>Table110[[#This Row],[MW Proyectada (Barra A)]]+Table110[[#This Row],[MW Proyectada (Barra B)]]</f>
        <v>#N/A</v>
      </c>
      <c r="L61" s="53" t="e">
        <f t="shared" si="0"/>
        <v>#N/A</v>
      </c>
      <c r="M61" s="53" t="e">
        <f>IF(Table110[[#This Row],[TOTAL MW]]&lt;165,Table110[[#This Row],[MW Proyectada (Barra A)]],Table110[[#This Row],[MW Proyectada (Barra A)]]*165/Table110[[#This Row],[TOTAL MW]])</f>
        <v>#N/A</v>
      </c>
      <c r="N61" s="53" t="e">
        <f>IF(Table110[[#This Row],[TOTAL MW]]&lt;165,Table110[[#This Row],[MW Proyectada (Barra B)]],Table110[[#This Row],[MW Proyectada (Barra B)]]*165/Table110[[#This Row],[TOTAL MW]])</f>
        <v>#N/A</v>
      </c>
      <c r="P61" s="90"/>
      <c r="Q61" s="90"/>
      <c r="R61" s="93"/>
      <c r="S61" s="93"/>
    </row>
    <row r="62" spans="2:19" x14ac:dyDescent="0.25">
      <c r="B62" s="91">
        <f t="shared" si="1"/>
        <v>45585.541666666526</v>
      </c>
      <c r="C62" s="52">
        <f t="shared" si="2"/>
        <v>2.5416666666666661</v>
      </c>
      <c r="D62" s="92">
        <f>Table110[[#This Row],[Fecha]]</f>
        <v>45585.541666666526</v>
      </c>
      <c r="E62" s="53" t="e">
        <f>VLOOKUP(Table110[[#This Row],[FECHA /HORA]],TBL_CalcDarwin[],7,0)</f>
        <v>#N/A</v>
      </c>
      <c r="F62" s="53" t="e">
        <f>VLOOKUP(Table110[[#This Row],[FECHA /HORA]],TBL_CalcDarwin[],42,0)</f>
        <v>#N/A</v>
      </c>
      <c r="G62" s="53" t="e">
        <f>VLOOKUP(Table110[[#This Row],[FECHA /HORA]],TBL_CalcDarwin[],43,0)</f>
        <v>#N/A</v>
      </c>
      <c r="H62" s="53" t="e">
        <f>VLOOKUP(Table110[[#This Row],[FECHA /HORA]],TBL_CalcDarwin[],40,0)</f>
        <v>#N/A</v>
      </c>
      <c r="I62" s="53" t="e">
        <f>VLOOKUP(Table110[[#This Row],[FECHA /HORA]],TBL_CalcDarwin[],41,0)</f>
        <v>#N/A</v>
      </c>
      <c r="J62" s="53" t="e">
        <f>Table110[[#This Row],[MW Proyectada (Barra A)]]+Table110[[#This Row],[MW Proyectada (Barra B)]]</f>
        <v>#N/A</v>
      </c>
      <c r="L62" s="53" t="e">
        <f t="shared" si="0"/>
        <v>#N/A</v>
      </c>
      <c r="M62" s="53" t="e">
        <f>IF(Table110[[#This Row],[TOTAL MW]]&lt;165,Table110[[#This Row],[MW Proyectada (Barra A)]],Table110[[#This Row],[MW Proyectada (Barra A)]]*165/Table110[[#This Row],[TOTAL MW]])</f>
        <v>#N/A</v>
      </c>
      <c r="N62" s="53" t="e">
        <f>IF(Table110[[#This Row],[TOTAL MW]]&lt;165,Table110[[#This Row],[MW Proyectada (Barra B)]],Table110[[#This Row],[MW Proyectada (Barra B)]]*165/Table110[[#This Row],[TOTAL MW]])</f>
        <v>#N/A</v>
      </c>
      <c r="P62" s="90"/>
      <c r="Q62" s="90"/>
      <c r="R62" s="93"/>
      <c r="S62" s="93"/>
    </row>
    <row r="63" spans="2:19" x14ac:dyDescent="0.25">
      <c r="B63" s="91">
        <f t="shared" si="1"/>
        <v>45585.58333333319</v>
      </c>
      <c r="C63" s="52">
        <f t="shared" si="2"/>
        <v>2.5833333333333326</v>
      </c>
      <c r="D63" s="92">
        <f>Table110[[#This Row],[Fecha]]</f>
        <v>45585.58333333319</v>
      </c>
      <c r="E63" s="53" t="e">
        <f>VLOOKUP(Table110[[#This Row],[FECHA /HORA]],TBL_CalcDarwin[],7,0)</f>
        <v>#N/A</v>
      </c>
      <c r="F63" s="53" t="e">
        <f>VLOOKUP(Table110[[#This Row],[FECHA /HORA]],TBL_CalcDarwin[],42,0)</f>
        <v>#N/A</v>
      </c>
      <c r="G63" s="53" t="e">
        <f>VLOOKUP(Table110[[#This Row],[FECHA /HORA]],TBL_CalcDarwin[],43,0)</f>
        <v>#N/A</v>
      </c>
      <c r="H63" s="53" t="e">
        <f>VLOOKUP(Table110[[#This Row],[FECHA /HORA]],TBL_CalcDarwin[],40,0)</f>
        <v>#N/A</v>
      </c>
      <c r="I63" s="53" t="e">
        <f>VLOOKUP(Table110[[#This Row],[FECHA /HORA]],TBL_CalcDarwin[],41,0)</f>
        <v>#N/A</v>
      </c>
      <c r="J63" s="53" t="e">
        <f>Table110[[#This Row],[MW Proyectada (Barra A)]]+Table110[[#This Row],[MW Proyectada (Barra B)]]</f>
        <v>#N/A</v>
      </c>
      <c r="L63" s="53" t="e">
        <f t="shared" si="0"/>
        <v>#N/A</v>
      </c>
      <c r="M63" s="53" t="e">
        <f>IF(Table110[[#This Row],[TOTAL MW]]&lt;165,Table110[[#This Row],[MW Proyectada (Barra A)]],Table110[[#This Row],[MW Proyectada (Barra A)]]*165/Table110[[#This Row],[TOTAL MW]])</f>
        <v>#N/A</v>
      </c>
      <c r="N63" s="53" t="e">
        <f>IF(Table110[[#This Row],[TOTAL MW]]&lt;165,Table110[[#This Row],[MW Proyectada (Barra B)]],Table110[[#This Row],[MW Proyectada (Barra B)]]*165/Table110[[#This Row],[TOTAL MW]])</f>
        <v>#N/A</v>
      </c>
      <c r="P63" s="90"/>
      <c r="Q63" s="90"/>
      <c r="R63" s="93"/>
      <c r="S63" s="93"/>
    </row>
    <row r="64" spans="2:19" x14ac:dyDescent="0.25">
      <c r="B64" s="91">
        <f t="shared" si="1"/>
        <v>45585.624999999854</v>
      </c>
      <c r="C64" s="52">
        <f t="shared" si="2"/>
        <v>2.6249999999999991</v>
      </c>
      <c r="D64" s="92">
        <f>Table110[[#This Row],[Fecha]]</f>
        <v>45585.624999999854</v>
      </c>
      <c r="E64" s="53" t="e">
        <f>VLOOKUP(Table110[[#This Row],[FECHA /HORA]],TBL_CalcDarwin[],7,0)</f>
        <v>#N/A</v>
      </c>
      <c r="F64" s="53" t="e">
        <f>VLOOKUP(Table110[[#This Row],[FECHA /HORA]],TBL_CalcDarwin[],42,0)</f>
        <v>#N/A</v>
      </c>
      <c r="G64" s="53" t="e">
        <f>VLOOKUP(Table110[[#This Row],[FECHA /HORA]],TBL_CalcDarwin[],43,0)</f>
        <v>#N/A</v>
      </c>
      <c r="H64" s="53" t="e">
        <f>VLOOKUP(Table110[[#This Row],[FECHA /HORA]],TBL_CalcDarwin[],40,0)</f>
        <v>#N/A</v>
      </c>
      <c r="I64" s="53" t="e">
        <f>VLOOKUP(Table110[[#This Row],[FECHA /HORA]],TBL_CalcDarwin[],41,0)</f>
        <v>#N/A</v>
      </c>
      <c r="J64" s="53" t="e">
        <f>Table110[[#This Row],[MW Proyectada (Barra A)]]+Table110[[#This Row],[MW Proyectada (Barra B)]]</f>
        <v>#N/A</v>
      </c>
      <c r="L64" s="53" t="e">
        <f t="shared" si="0"/>
        <v>#N/A</v>
      </c>
      <c r="M64" s="53" t="e">
        <f>IF(Table110[[#This Row],[TOTAL MW]]&lt;165,Table110[[#This Row],[MW Proyectada (Barra A)]],Table110[[#This Row],[MW Proyectada (Barra A)]]*165/Table110[[#This Row],[TOTAL MW]])</f>
        <v>#N/A</v>
      </c>
      <c r="N64" s="53" t="e">
        <f>IF(Table110[[#This Row],[TOTAL MW]]&lt;165,Table110[[#This Row],[MW Proyectada (Barra B)]],Table110[[#This Row],[MW Proyectada (Barra B)]]*165/Table110[[#This Row],[TOTAL MW]])</f>
        <v>#N/A</v>
      </c>
      <c r="P64" s="90"/>
      <c r="Q64" s="90"/>
      <c r="R64" s="93"/>
      <c r="S64" s="93"/>
    </row>
    <row r="65" spans="2:19" x14ac:dyDescent="0.25">
      <c r="B65" s="91">
        <f t="shared" si="1"/>
        <v>45585.666666666519</v>
      </c>
      <c r="C65" s="52">
        <f t="shared" si="2"/>
        <v>2.6666666666666656</v>
      </c>
      <c r="D65" s="92">
        <f>Table110[[#This Row],[Fecha]]</f>
        <v>45585.666666666519</v>
      </c>
      <c r="E65" s="53" t="e">
        <f>VLOOKUP(Table110[[#This Row],[FECHA /HORA]],TBL_CalcDarwin[],7,0)</f>
        <v>#N/A</v>
      </c>
      <c r="F65" s="53" t="e">
        <f>VLOOKUP(Table110[[#This Row],[FECHA /HORA]],TBL_CalcDarwin[],42,0)</f>
        <v>#N/A</v>
      </c>
      <c r="G65" s="53" t="e">
        <f>VLOOKUP(Table110[[#This Row],[FECHA /HORA]],TBL_CalcDarwin[],43,0)</f>
        <v>#N/A</v>
      </c>
      <c r="H65" s="53" t="e">
        <f>VLOOKUP(Table110[[#This Row],[FECHA /HORA]],TBL_CalcDarwin[],40,0)</f>
        <v>#N/A</v>
      </c>
      <c r="I65" s="53" t="e">
        <f>VLOOKUP(Table110[[#This Row],[FECHA /HORA]],TBL_CalcDarwin[],41,0)</f>
        <v>#N/A</v>
      </c>
      <c r="J65" s="53" t="e">
        <f>Table110[[#This Row],[MW Proyectada (Barra A)]]+Table110[[#This Row],[MW Proyectada (Barra B)]]</f>
        <v>#N/A</v>
      </c>
      <c r="L65" s="53" t="e">
        <f t="shared" si="0"/>
        <v>#N/A</v>
      </c>
      <c r="M65" s="53" t="e">
        <f>IF(Table110[[#This Row],[TOTAL MW]]&lt;165,Table110[[#This Row],[MW Proyectada (Barra A)]],Table110[[#This Row],[MW Proyectada (Barra A)]]*165/Table110[[#This Row],[TOTAL MW]])</f>
        <v>#N/A</v>
      </c>
      <c r="N65" s="53" t="e">
        <f>IF(Table110[[#This Row],[TOTAL MW]]&lt;165,Table110[[#This Row],[MW Proyectada (Barra B)]],Table110[[#This Row],[MW Proyectada (Barra B)]]*165/Table110[[#This Row],[TOTAL MW]])</f>
        <v>#N/A</v>
      </c>
      <c r="P65" s="90"/>
      <c r="Q65" s="90"/>
      <c r="R65" s="93"/>
      <c r="S65" s="93"/>
    </row>
    <row r="66" spans="2:19" x14ac:dyDescent="0.25">
      <c r="B66" s="91">
        <f t="shared" si="1"/>
        <v>45585.708333333183</v>
      </c>
      <c r="C66" s="52">
        <f t="shared" si="2"/>
        <v>2.7083333333333321</v>
      </c>
      <c r="D66" s="92">
        <f>Table110[[#This Row],[Fecha]]</f>
        <v>45585.708333333183</v>
      </c>
      <c r="E66" s="53" t="e">
        <f>VLOOKUP(Table110[[#This Row],[FECHA /HORA]],TBL_CalcDarwin[],7,0)</f>
        <v>#N/A</v>
      </c>
      <c r="F66" s="53" t="e">
        <f>VLOOKUP(Table110[[#This Row],[FECHA /HORA]],TBL_CalcDarwin[],42,0)</f>
        <v>#N/A</v>
      </c>
      <c r="G66" s="53" t="e">
        <f>VLOOKUP(Table110[[#This Row],[FECHA /HORA]],TBL_CalcDarwin[],43,0)</f>
        <v>#N/A</v>
      </c>
      <c r="H66" s="53" t="e">
        <f>VLOOKUP(Table110[[#This Row],[FECHA /HORA]],TBL_CalcDarwin[],40,0)</f>
        <v>#N/A</v>
      </c>
      <c r="I66" s="53" t="e">
        <f>VLOOKUP(Table110[[#This Row],[FECHA /HORA]],TBL_CalcDarwin[],41,0)</f>
        <v>#N/A</v>
      </c>
      <c r="J66" s="53" t="e">
        <f>Table110[[#This Row],[MW Proyectada (Barra A)]]+Table110[[#This Row],[MW Proyectada (Barra B)]]</f>
        <v>#N/A</v>
      </c>
      <c r="L66" s="53" t="e">
        <f t="shared" si="0"/>
        <v>#N/A</v>
      </c>
      <c r="M66" s="53" t="e">
        <f>IF(Table110[[#This Row],[TOTAL MW]]&lt;165,Table110[[#This Row],[MW Proyectada (Barra A)]],Table110[[#This Row],[MW Proyectada (Barra A)]]*165/Table110[[#This Row],[TOTAL MW]])</f>
        <v>#N/A</v>
      </c>
      <c r="N66" s="53" t="e">
        <f>IF(Table110[[#This Row],[TOTAL MW]]&lt;165,Table110[[#This Row],[MW Proyectada (Barra B)]],Table110[[#This Row],[MW Proyectada (Barra B)]]*165/Table110[[#This Row],[TOTAL MW]])</f>
        <v>#N/A</v>
      </c>
      <c r="P66" s="90"/>
      <c r="Q66" s="90"/>
      <c r="R66" s="93"/>
      <c r="S66" s="93"/>
    </row>
    <row r="67" spans="2:19" x14ac:dyDescent="0.25">
      <c r="B67" s="91">
        <f t="shared" si="1"/>
        <v>45585.749999999847</v>
      </c>
      <c r="C67" s="52">
        <f t="shared" si="2"/>
        <v>2.7499999999999987</v>
      </c>
      <c r="D67" s="92">
        <f>Table110[[#This Row],[Fecha]]</f>
        <v>45585.749999999847</v>
      </c>
      <c r="E67" s="53" t="e">
        <f>VLOOKUP(Table110[[#This Row],[FECHA /HORA]],TBL_CalcDarwin[],7,0)</f>
        <v>#N/A</v>
      </c>
      <c r="F67" s="53" t="e">
        <f>VLOOKUP(Table110[[#This Row],[FECHA /HORA]],TBL_CalcDarwin[],42,0)</f>
        <v>#N/A</v>
      </c>
      <c r="G67" s="53" t="e">
        <f>VLOOKUP(Table110[[#This Row],[FECHA /HORA]],TBL_CalcDarwin[],43,0)</f>
        <v>#N/A</v>
      </c>
      <c r="H67" s="53" t="e">
        <f>VLOOKUP(Table110[[#This Row],[FECHA /HORA]],TBL_CalcDarwin[],40,0)</f>
        <v>#N/A</v>
      </c>
      <c r="I67" s="53" t="e">
        <f>VLOOKUP(Table110[[#This Row],[FECHA /HORA]],TBL_CalcDarwin[],41,0)</f>
        <v>#N/A</v>
      </c>
      <c r="J67" s="53" t="e">
        <f>Table110[[#This Row],[MW Proyectada (Barra A)]]+Table110[[#This Row],[MW Proyectada (Barra B)]]</f>
        <v>#N/A</v>
      </c>
      <c r="L67" s="53" t="e">
        <f t="shared" si="0"/>
        <v>#N/A</v>
      </c>
      <c r="M67" s="53" t="e">
        <f>IF(Table110[[#This Row],[TOTAL MW]]&lt;165,Table110[[#This Row],[MW Proyectada (Barra A)]],Table110[[#This Row],[MW Proyectada (Barra A)]]*165/Table110[[#This Row],[TOTAL MW]])</f>
        <v>#N/A</v>
      </c>
      <c r="N67" s="53" t="e">
        <f>IF(Table110[[#This Row],[TOTAL MW]]&lt;165,Table110[[#This Row],[MW Proyectada (Barra B)]],Table110[[#This Row],[MW Proyectada (Barra B)]]*165/Table110[[#This Row],[TOTAL MW]])</f>
        <v>#N/A</v>
      </c>
      <c r="P67" s="90"/>
      <c r="Q67" s="90"/>
      <c r="R67" s="93"/>
      <c r="S67" s="93"/>
    </row>
    <row r="68" spans="2:19" x14ac:dyDescent="0.25">
      <c r="B68" s="91">
        <f t="shared" si="1"/>
        <v>45585.791666666511</v>
      </c>
      <c r="C68" s="52">
        <f t="shared" si="2"/>
        <v>2.7916666666666652</v>
      </c>
      <c r="D68" s="92">
        <f>Table110[[#This Row],[Fecha]]</f>
        <v>45585.791666666511</v>
      </c>
      <c r="E68" s="53" t="e">
        <f>VLOOKUP(Table110[[#This Row],[FECHA /HORA]],TBL_CalcDarwin[],7,0)</f>
        <v>#N/A</v>
      </c>
      <c r="F68" s="53" t="e">
        <f>VLOOKUP(Table110[[#This Row],[FECHA /HORA]],TBL_CalcDarwin[],42,0)</f>
        <v>#N/A</v>
      </c>
      <c r="G68" s="53" t="e">
        <f>VLOOKUP(Table110[[#This Row],[FECHA /HORA]],TBL_CalcDarwin[],43,0)</f>
        <v>#N/A</v>
      </c>
      <c r="H68" s="53" t="e">
        <f>VLOOKUP(Table110[[#This Row],[FECHA /HORA]],TBL_CalcDarwin[],40,0)</f>
        <v>#N/A</v>
      </c>
      <c r="I68" s="53" t="e">
        <f>VLOOKUP(Table110[[#This Row],[FECHA /HORA]],TBL_CalcDarwin[],41,0)</f>
        <v>#N/A</v>
      </c>
      <c r="J68" s="53" t="e">
        <f>Table110[[#This Row],[MW Proyectada (Barra A)]]+Table110[[#This Row],[MW Proyectada (Barra B)]]</f>
        <v>#N/A</v>
      </c>
      <c r="L68" s="53" t="e">
        <f t="shared" ref="L68:L131" si="3">M68+N68</f>
        <v>#N/A</v>
      </c>
      <c r="M68" s="53" t="e">
        <f>IF(Table110[[#This Row],[TOTAL MW]]&lt;165,Table110[[#This Row],[MW Proyectada (Barra A)]],Table110[[#This Row],[MW Proyectada (Barra A)]]*165/Table110[[#This Row],[TOTAL MW]])</f>
        <v>#N/A</v>
      </c>
      <c r="N68" s="53" t="e">
        <f>IF(Table110[[#This Row],[TOTAL MW]]&lt;165,Table110[[#This Row],[MW Proyectada (Barra B)]],Table110[[#This Row],[MW Proyectada (Barra B)]]*165/Table110[[#This Row],[TOTAL MW]])</f>
        <v>#N/A</v>
      </c>
      <c r="P68" s="90"/>
      <c r="Q68" s="90"/>
      <c r="R68" s="93"/>
      <c r="S68" s="93"/>
    </row>
    <row r="69" spans="2:19" x14ac:dyDescent="0.25">
      <c r="B69" s="91">
        <f t="shared" ref="B69:B132" si="4">B68+TIME(1,0,0)</f>
        <v>45585.833333333176</v>
      </c>
      <c r="C69" s="52">
        <f t="shared" ref="C69:C132" si="5">C68+TIME(1,0,0)</f>
        <v>2.8333333333333317</v>
      </c>
      <c r="D69" s="92">
        <f>Table110[[#This Row],[Fecha]]</f>
        <v>45585.833333333176</v>
      </c>
      <c r="E69" s="53" t="e">
        <f>VLOOKUP(Table110[[#This Row],[FECHA /HORA]],TBL_CalcDarwin[],7,0)</f>
        <v>#N/A</v>
      </c>
      <c r="F69" s="53" t="e">
        <f>VLOOKUP(Table110[[#This Row],[FECHA /HORA]],TBL_CalcDarwin[],42,0)</f>
        <v>#N/A</v>
      </c>
      <c r="G69" s="53" t="e">
        <f>VLOOKUP(Table110[[#This Row],[FECHA /HORA]],TBL_CalcDarwin[],43,0)</f>
        <v>#N/A</v>
      </c>
      <c r="H69" s="53" t="e">
        <f>VLOOKUP(Table110[[#This Row],[FECHA /HORA]],TBL_CalcDarwin[],40,0)</f>
        <v>#N/A</v>
      </c>
      <c r="I69" s="53" t="e">
        <f>VLOOKUP(Table110[[#This Row],[FECHA /HORA]],TBL_CalcDarwin[],41,0)</f>
        <v>#N/A</v>
      </c>
      <c r="J69" s="53" t="e">
        <f>Table110[[#This Row],[MW Proyectada (Barra A)]]+Table110[[#This Row],[MW Proyectada (Barra B)]]</f>
        <v>#N/A</v>
      </c>
      <c r="L69" s="53" t="e">
        <f t="shared" si="3"/>
        <v>#N/A</v>
      </c>
      <c r="M69" s="53" t="e">
        <f>IF(Table110[[#This Row],[TOTAL MW]]&lt;165,Table110[[#This Row],[MW Proyectada (Barra A)]],Table110[[#This Row],[MW Proyectada (Barra A)]]*165/Table110[[#This Row],[TOTAL MW]])</f>
        <v>#N/A</v>
      </c>
      <c r="N69" s="53" t="e">
        <f>IF(Table110[[#This Row],[TOTAL MW]]&lt;165,Table110[[#This Row],[MW Proyectada (Barra B)]],Table110[[#This Row],[MW Proyectada (Barra B)]]*165/Table110[[#This Row],[TOTAL MW]])</f>
        <v>#N/A</v>
      </c>
      <c r="P69" s="90"/>
      <c r="Q69" s="90"/>
      <c r="R69" s="93"/>
      <c r="S69" s="93"/>
    </row>
    <row r="70" spans="2:19" x14ac:dyDescent="0.25">
      <c r="B70" s="91">
        <f t="shared" si="4"/>
        <v>45585.87499999984</v>
      </c>
      <c r="C70" s="52">
        <f t="shared" si="5"/>
        <v>2.8749999999999982</v>
      </c>
      <c r="D70" s="92">
        <f>Table110[[#This Row],[Fecha]]</f>
        <v>45585.87499999984</v>
      </c>
      <c r="E70" s="53" t="e">
        <f>VLOOKUP(Table110[[#This Row],[FECHA /HORA]],TBL_CalcDarwin[],7,0)</f>
        <v>#N/A</v>
      </c>
      <c r="F70" s="53" t="e">
        <f>VLOOKUP(Table110[[#This Row],[FECHA /HORA]],TBL_CalcDarwin[],42,0)</f>
        <v>#N/A</v>
      </c>
      <c r="G70" s="53" t="e">
        <f>VLOOKUP(Table110[[#This Row],[FECHA /HORA]],TBL_CalcDarwin[],43,0)</f>
        <v>#N/A</v>
      </c>
      <c r="H70" s="53" t="e">
        <f>VLOOKUP(Table110[[#This Row],[FECHA /HORA]],TBL_CalcDarwin[],40,0)</f>
        <v>#N/A</v>
      </c>
      <c r="I70" s="53" t="e">
        <f>VLOOKUP(Table110[[#This Row],[FECHA /HORA]],TBL_CalcDarwin[],41,0)</f>
        <v>#N/A</v>
      </c>
      <c r="J70" s="53" t="e">
        <f>Table110[[#This Row],[MW Proyectada (Barra A)]]+Table110[[#This Row],[MW Proyectada (Barra B)]]</f>
        <v>#N/A</v>
      </c>
      <c r="L70" s="53" t="e">
        <f t="shared" si="3"/>
        <v>#N/A</v>
      </c>
      <c r="M70" s="53" t="e">
        <f>IF(Table110[[#This Row],[TOTAL MW]]&lt;165,Table110[[#This Row],[MW Proyectada (Barra A)]],Table110[[#This Row],[MW Proyectada (Barra A)]]*165/Table110[[#This Row],[TOTAL MW]])</f>
        <v>#N/A</v>
      </c>
      <c r="N70" s="53" t="e">
        <f>IF(Table110[[#This Row],[TOTAL MW]]&lt;165,Table110[[#This Row],[MW Proyectada (Barra B)]],Table110[[#This Row],[MW Proyectada (Barra B)]]*165/Table110[[#This Row],[TOTAL MW]])</f>
        <v>#N/A</v>
      </c>
      <c r="P70" s="90"/>
      <c r="Q70" s="90"/>
      <c r="R70" s="93"/>
      <c r="S70" s="93"/>
    </row>
    <row r="71" spans="2:19" x14ac:dyDescent="0.25">
      <c r="B71" s="91">
        <f t="shared" si="4"/>
        <v>45585.916666666504</v>
      </c>
      <c r="C71" s="52">
        <f t="shared" si="5"/>
        <v>2.9166666666666647</v>
      </c>
      <c r="D71" s="92">
        <f>Table110[[#This Row],[Fecha]]</f>
        <v>45585.916666666504</v>
      </c>
      <c r="E71" s="53" t="e">
        <f>VLOOKUP(Table110[[#This Row],[FECHA /HORA]],TBL_CalcDarwin[],7,0)</f>
        <v>#N/A</v>
      </c>
      <c r="F71" s="53" t="e">
        <f>VLOOKUP(Table110[[#This Row],[FECHA /HORA]],TBL_CalcDarwin[],42,0)</f>
        <v>#N/A</v>
      </c>
      <c r="G71" s="53" t="e">
        <f>VLOOKUP(Table110[[#This Row],[FECHA /HORA]],TBL_CalcDarwin[],43,0)</f>
        <v>#N/A</v>
      </c>
      <c r="H71" s="53" t="e">
        <f>VLOOKUP(Table110[[#This Row],[FECHA /HORA]],TBL_CalcDarwin[],40,0)</f>
        <v>#N/A</v>
      </c>
      <c r="I71" s="53" t="e">
        <f>VLOOKUP(Table110[[#This Row],[FECHA /HORA]],TBL_CalcDarwin[],41,0)</f>
        <v>#N/A</v>
      </c>
      <c r="J71" s="53" t="e">
        <f>Table110[[#This Row],[MW Proyectada (Barra A)]]+Table110[[#This Row],[MW Proyectada (Barra B)]]</f>
        <v>#N/A</v>
      </c>
      <c r="L71" s="53" t="e">
        <f t="shared" si="3"/>
        <v>#N/A</v>
      </c>
      <c r="M71" s="53" t="e">
        <f>IF(Table110[[#This Row],[TOTAL MW]]&lt;165,Table110[[#This Row],[MW Proyectada (Barra A)]],Table110[[#This Row],[MW Proyectada (Barra A)]]*165/Table110[[#This Row],[TOTAL MW]])</f>
        <v>#N/A</v>
      </c>
      <c r="N71" s="53" t="e">
        <f>IF(Table110[[#This Row],[TOTAL MW]]&lt;165,Table110[[#This Row],[MW Proyectada (Barra B)]],Table110[[#This Row],[MW Proyectada (Barra B)]]*165/Table110[[#This Row],[TOTAL MW]])</f>
        <v>#N/A</v>
      </c>
      <c r="P71" s="90"/>
      <c r="Q71" s="90"/>
      <c r="R71" s="93"/>
      <c r="S71" s="93"/>
    </row>
    <row r="72" spans="2:19" x14ac:dyDescent="0.25">
      <c r="B72" s="91">
        <f t="shared" si="4"/>
        <v>45585.958333333168</v>
      </c>
      <c r="C72" s="52">
        <f t="shared" si="5"/>
        <v>2.9583333333333313</v>
      </c>
      <c r="D72" s="92">
        <f>Table110[[#This Row],[Fecha]]</f>
        <v>45585.958333333168</v>
      </c>
      <c r="E72" s="53" t="e">
        <f>VLOOKUP(Table110[[#This Row],[FECHA /HORA]],TBL_CalcDarwin[],7,0)</f>
        <v>#N/A</v>
      </c>
      <c r="F72" s="53" t="e">
        <f>VLOOKUP(Table110[[#This Row],[FECHA /HORA]],TBL_CalcDarwin[],42,0)</f>
        <v>#N/A</v>
      </c>
      <c r="G72" s="53" t="e">
        <f>VLOOKUP(Table110[[#This Row],[FECHA /HORA]],TBL_CalcDarwin[],43,0)</f>
        <v>#N/A</v>
      </c>
      <c r="H72" s="53" t="e">
        <f>VLOOKUP(Table110[[#This Row],[FECHA /HORA]],TBL_CalcDarwin[],40,0)</f>
        <v>#N/A</v>
      </c>
      <c r="I72" s="53" t="e">
        <f>VLOOKUP(Table110[[#This Row],[FECHA /HORA]],TBL_CalcDarwin[],41,0)</f>
        <v>#N/A</v>
      </c>
      <c r="J72" s="53" t="e">
        <f>Table110[[#This Row],[MW Proyectada (Barra A)]]+Table110[[#This Row],[MW Proyectada (Barra B)]]</f>
        <v>#N/A</v>
      </c>
      <c r="L72" s="53" t="e">
        <f t="shared" si="3"/>
        <v>#N/A</v>
      </c>
      <c r="M72" s="53" t="e">
        <f>IF(Table110[[#This Row],[TOTAL MW]]&lt;165,Table110[[#This Row],[MW Proyectada (Barra A)]],Table110[[#This Row],[MW Proyectada (Barra A)]]*165/Table110[[#This Row],[TOTAL MW]])</f>
        <v>#N/A</v>
      </c>
      <c r="N72" s="53" t="e">
        <f>IF(Table110[[#This Row],[TOTAL MW]]&lt;165,Table110[[#This Row],[MW Proyectada (Barra B)]],Table110[[#This Row],[MW Proyectada (Barra B)]]*165/Table110[[#This Row],[TOTAL MW]])</f>
        <v>#N/A</v>
      </c>
      <c r="P72" s="90"/>
      <c r="Q72" s="90"/>
      <c r="R72" s="93"/>
      <c r="S72" s="93"/>
    </row>
    <row r="73" spans="2:19" x14ac:dyDescent="0.25">
      <c r="B73" s="91">
        <f t="shared" si="4"/>
        <v>45585.999999999833</v>
      </c>
      <c r="C73" s="52">
        <f t="shared" si="5"/>
        <v>2.9999999999999978</v>
      </c>
      <c r="D73" s="92">
        <f>Table110[[#This Row],[Fecha]]</f>
        <v>45585.999999999833</v>
      </c>
      <c r="E73" s="53" t="e">
        <f>VLOOKUP(Table110[[#This Row],[FECHA /HORA]],TBL_CalcDarwin[],7,0)</f>
        <v>#N/A</v>
      </c>
      <c r="F73" s="53" t="e">
        <f>VLOOKUP(Table110[[#This Row],[FECHA /HORA]],TBL_CalcDarwin[],42,0)</f>
        <v>#N/A</v>
      </c>
      <c r="G73" s="53" t="e">
        <f>VLOOKUP(Table110[[#This Row],[FECHA /HORA]],TBL_CalcDarwin[],43,0)</f>
        <v>#N/A</v>
      </c>
      <c r="H73" s="53" t="e">
        <f>VLOOKUP(Table110[[#This Row],[FECHA /HORA]],TBL_CalcDarwin[],40,0)</f>
        <v>#N/A</v>
      </c>
      <c r="I73" s="53" t="e">
        <f>VLOOKUP(Table110[[#This Row],[FECHA /HORA]],TBL_CalcDarwin[],41,0)</f>
        <v>#N/A</v>
      </c>
      <c r="J73" s="53" t="e">
        <f>Table110[[#This Row],[MW Proyectada (Barra A)]]+Table110[[#This Row],[MW Proyectada (Barra B)]]</f>
        <v>#N/A</v>
      </c>
      <c r="L73" s="53" t="e">
        <f t="shared" si="3"/>
        <v>#N/A</v>
      </c>
      <c r="M73" s="53" t="e">
        <f>IF(Table110[[#This Row],[TOTAL MW]]&lt;165,Table110[[#This Row],[MW Proyectada (Barra A)]],Table110[[#This Row],[MW Proyectada (Barra A)]]*165/Table110[[#This Row],[TOTAL MW]])</f>
        <v>#N/A</v>
      </c>
      <c r="N73" s="53" t="e">
        <f>IF(Table110[[#This Row],[TOTAL MW]]&lt;165,Table110[[#This Row],[MW Proyectada (Barra B)]],Table110[[#This Row],[MW Proyectada (Barra B)]]*165/Table110[[#This Row],[TOTAL MW]])</f>
        <v>#N/A</v>
      </c>
      <c r="P73" s="90"/>
      <c r="Q73" s="90"/>
      <c r="R73" s="93"/>
      <c r="S73" s="93"/>
    </row>
    <row r="74" spans="2:19" x14ac:dyDescent="0.25">
      <c r="B74" s="91">
        <f t="shared" si="4"/>
        <v>45586.041666666497</v>
      </c>
      <c r="C74" s="52">
        <f t="shared" si="5"/>
        <v>3.0416666666666643</v>
      </c>
      <c r="D74" s="92">
        <f>Table110[[#This Row],[Fecha]]</f>
        <v>45586.041666666497</v>
      </c>
      <c r="E74" s="53" t="e">
        <f>VLOOKUP(Table110[[#This Row],[FECHA /HORA]],TBL_CalcDarwin[],7,0)</f>
        <v>#N/A</v>
      </c>
      <c r="F74" s="53" t="e">
        <f>VLOOKUP(Table110[[#This Row],[FECHA /HORA]],TBL_CalcDarwin[],42,0)</f>
        <v>#N/A</v>
      </c>
      <c r="G74" s="53" t="e">
        <f>VLOOKUP(Table110[[#This Row],[FECHA /HORA]],TBL_CalcDarwin[],43,0)</f>
        <v>#N/A</v>
      </c>
      <c r="H74" s="53" t="e">
        <f>VLOOKUP(Table110[[#This Row],[FECHA /HORA]],TBL_CalcDarwin[],40,0)</f>
        <v>#N/A</v>
      </c>
      <c r="I74" s="53" t="e">
        <f>VLOOKUP(Table110[[#This Row],[FECHA /HORA]],TBL_CalcDarwin[],41,0)</f>
        <v>#N/A</v>
      </c>
      <c r="J74" s="53" t="e">
        <f>Table110[[#This Row],[MW Proyectada (Barra A)]]+Table110[[#This Row],[MW Proyectada (Barra B)]]</f>
        <v>#N/A</v>
      </c>
      <c r="L74" s="53" t="e">
        <f t="shared" si="3"/>
        <v>#N/A</v>
      </c>
      <c r="M74" s="53" t="e">
        <f>IF(Table110[[#This Row],[TOTAL MW]]&lt;165,Table110[[#This Row],[MW Proyectada (Barra A)]],Table110[[#This Row],[MW Proyectada (Barra A)]]*165/Table110[[#This Row],[TOTAL MW]])</f>
        <v>#N/A</v>
      </c>
      <c r="N74" s="53" t="e">
        <f>IF(Table110[[#This Row],[TOTAL MW]]&lt;165,Table110[[#This Row],[MW Proyectada (Barra B)]],Table110[[#This Row],[MW Proyectada (Barra B)]]*165/Table110[[#This Row],[TOTAL MW]])</f>
        <v>#N/A</v>
      </c>
      <c r="P74" s="90"/>
      <c r="Q74" s="90"/>
      <c r="R74" s="93"/>
      <c r="S74" s="93"/>
    </row>
    <row r="75" spans="2:19" x14ac:dyDescent="0.25">
      <c r="B75" s="91">
        <f t="shared" si="4"/>
        <v>45586.083333333161</v>
      </c>
      <c r="C75" s="52">
        <f t="shared" si="5"/>
        <v>3.0833333333333308</v>
      </c>
      <c r="D75" s="92">
        <f>Table110[[#This Row],[Fecha]]</f>
        <v>45586.083333333161</v>
      </c>
      <c r="E75" s="53" t="e">
        <f>VLOOKUP(Table110[[#This Row],[FECHA /HORA]],TBL_CalcDarwin[],7,0)</f>
        <v>#N/A</v>
      </c>
      <c r="F75" s="53" t="e">
        <f>VLOOKUP(Table110[[#This Row],[FECHA /HORA]],TBL_CalcDarwin[],42,0)</f>
        <v>#N/A</v>
      </c>
      <c r="G75" s="53" t="e">
        <f>VLOOKUP(Table110[[#This Row],[FECHA /HORA]],TBL_CalcDarwin[],43,0)</f>
        <v>#N/A</v>
      </c>
      <c r="H75" s="53" t="e">
        <f>VLOOKUP(Table110[[#This Row],[FECHA /HORA]],TBL_CalcDarwin[],40,0)</f>
        <v>#N/A</v>
      </c>
      <c r="I75" s="53" t="e">
        <f>VLOOKUP(Table110[[#This Row],[FECHA /HORA]],TBL_CalcDarwin[],41,0)</f>
        <v>#N/A</v>
      </c>
      <c r="J75" s="53" t="e">
        <f>Table110[[#This Row],[MW Proyectada (Barra A)]]+Table110[[#This Row],[MW Proyectada (Barra B)]]</f>
        <v>#N/A</v>
      </c>
      <c r="L75" s="53" t="e">
        <f t="shared" si="3"/>
        <v>#N/A</v>
      </c>
      <c r="M75" s="53" t="e">
        <f>IF(Table110[[#This Row],[TOTAL MW]]&lt;165,Table110[[#This Row],[MW Proyectada (Barra A)]],Table110[[#This Row],[MW Proyectada (Barra A)]]*165/Table110[[#This Row],[TOTAL MW]])</f>
        <v>#N/A</v>
      </c>
      <c r="N75" s="53" t="e">
        <f>IF(Table110[[#This Row],[TOTAL MW]]&lt;165,Table110[[#This Row],[MW Proyectada (Barra B)]],Table110[[#This Row],[MW Proyectada (Barra B)]]*165/Table110[[#This Row],[TOTAL MW]])</f>
        <v>#N/A</v>
      </c>
      <c r="P75" s="90"/>
      <c r="Q75" s="90"/>
      <c r="R75" s="93"/>
      <c r="S75" s="93"/>
    </row>
    <row r="76" spans="2:19" x14ac:dyDescent="0.25">
      <c r="B76" s="91">
        <f t="shared" si="4"/>
        <v>45586.124999999825</v>
      </c>
      <c r="C76" s="52">
        <f t="shared" si="5"/>
        <v>3.1249999999999973</v>
      </c>
      <c r="D76" s="92">
        <f>Table110[[#This Row],[Fecha]]</f>
        <v>45586.124999999825</v>
      </c>
      <c r="E76" s="53" t="e">
        <f>VLOOKUP(Table110[[#This Row],[FECHA /HORA]],TBL_CalcDarwin[],7,0)</f>
        <v>#N/A</v>
      </c>
      <c r="F76" s="53" t="e">
        <f>VLOOKUP(Table110[[#This Row],[FECHA /HORA]],TBL_CalcDarwin[],42,0)</f>
        <v>#N/A</v>
      </c>
      <c r="G76" s="53" t="e">
        <f>VLOOKUP(Table110[[#This Row],[FECHA /HORA]],TBL_CalcDarwin[],43,0)</f>
        <v>#N/A</v>
      </c>
      <c r="H76" s="53" t="e">
        <f>VLOOKUP(Table110[[#This Row],[FECHA /HORA]],TBL_CalcDarwin[],40,0)</f>
        <v>#N/A</v>
      </c>
      <c r="I76" s="53" t="e">
        <f>VLOOKUP(Table110[[#This Row],[FECHA /HORA]],TBL_CalcDarwin[],41,0)</f>
        <v>#N/A</v>
      </c>
      <c r="J76" s="53" t="e">
        <f>Table110[[#This Row],[MW Proyectada (Barra A)]]+Table110[[#This Row],[MW Proyectada (Barra B)]]</f>
        <v>#N/A</v>
      </c>
      <c r="L76" s="53" t="e">
        <f t="shared" si="3"/>
        <v>#N/A</v>
      </c>
      <c r="M76" s="53" t="e">
        <f>IF(Table110[[#This Row],[TOTAL MW]]&lt;165,Table110[[#This Row],[MW Proyectada (Barra A)]],Table110[[#This Row],[MW Proyectada (Barra A)]]*165/Table110[[#This Row],[TOTAL MW]])</f>
        <v>#N/A</v>
      </c>
      <c r="N76" s="53" t="e">
        <f>IF(Table110[[#This Row],[TOTAL MW]]&lt;165,Table110[[#This Row],[MW Proyectada (Barra B)]],Table110[[#This Row],[MW Proyectada (Barra B)]]*165/Table110[[#This Row],[TOTAL MW]])</f>
        <v>#N/A</v>
      </c>
      <c r="P76" s="90"/>
      <c r="Q76" s="90"/>
      <c r="R76" s="93"/>
      <c r="S76" s="93"/>
    </row>
    <row r="77" spans="2:19" x14ac:dyDescent="0.25">
      <c r="B77" s="91">
        <f t="shared" si="4"/>
        <v>45586.16666666649</v>
      </c>
      <c r="C77" s="52">
        <f t="shared" si="5"/>
        <v>3.1666666666666639</v>
      </c>
      <c r="D77" s="92">
        <f>Table110[[#This Row],[Fecha]]</f>
        <v>45586.16666666649</v>
      </c>
      <c r="E77" s="53" t="e">
        <f>VLOOKUP(Table110[[#This Row],[FECHA /HORA]],TBL_CalcDarwin[],7,0)</f>
        <v>#N/A</v>
      </c>
      <c r="F77" s="53" t="e">
        <f>VLOOKUP(Table110[[#This Row],[FECHA /HORA]],TBL_CalcDarwin[],42,0)</f>
        <v>#N/A</v>
      </c>
      <c r="G77" s="53" t="e">
        <f>VLOOKUP(Table110[[#This Row],[FECHA /HORA]],TBL_CalcDarwin[],43,0)</f>
        <v>#N/A</v>
      </c>
      <c r="H77" s="53" t="e">
        <f>VLOOKUP(Table110[[#This Row],[FECHA /HORA]],TBL_CalcDarwin[],40,0)</f>
        <v>#N/A</v>
      </c>
      <c r="I77" s="53" t="e">
        <f>VLOOKUP(Table110[[#This Row],[FECHA /HORA]],TBL_CalcDarwin[],41,0)</f>
        <v>#N/A</v>
      </c>
      <c r="J77" s="53" t="e">
        <f>Table110[[#This Row],[MW Proyectada (Barra A)]]+Table110[[#This Row],[MW Proyectada (Barra B)]]</f>
        <v>#N/A</v>
      </c>
      <c r="L77" s="53" t="e">
        <f t="shared" si="3"/>
        <v>#N/A</v>
      </c>
      <c r="M77" s="53" t="e">
        <f>IF(Table110[[#This Row],[TOTAL MW]]&lt;165,Table110[[#This Row],[MW Proyectada (Barra A)]],Table110[[#This Row],[MW Proyectada (Barra A)]]*165/Table110[[#This Row],[TOTAL MW]])</f>
        <v>#N/A</v>
      </c>
      <c r="N77" s="53" t="e">
        <f>IF(Table110[[#This Row],[TOTAL MW]]&lt;165,Table110[[#This Row],[MW Proyectada (Barra B)]],Table110[[#This Row],[MW Proyectada (Barra B)]]*165/Table110[[#This Row],[TOTAL MW]])</f>
        <v>#N/A</v>
      </c>
      <c r="P77" s="90"/>
      <c r="Q77" s="90"/>
      <c r="R77" s="93"/>
      <c r="S77" s="93"/>
    </row>
    <row r="78" spans="2:19" x14ac:dyDescent="0.25">
      <c r="B78" s="91">
        <f t="shared" si="4"/>
        <v>45586.208333333154</v>
      </c>
      <c r="C78" s="52">
        <f t="shared" si="5"/>
        <v>3.2083333333333304</v>
      </c>
      <c r="D78" s="92">
        <f>Table110[[#This Row],[Fecha]]</f>
        <v>45586.208333333154</v>
      </c>
      <c r="E78" s="53" t="e">
        <f>VLOOKUP(Table110[[#This Row],[FECHA /HORA]],TBL_CalcDarwin[],7,0)</f>
        <v>#N/A</v>
      </c>
      <c r="F78" s="53" t="e">
        <f>VLOOKUP(Table110[[#This Row],[FECHA /HORA]],TBL_CalcDarwin[],42,0)</f>
        <v>#N/A</v>
      </c>
      <c r="G78" s="53" t="e">
        <f>VLOOKUP(Table110[[#This Row],[FECHA /HORA]],TBL_CalcDarwin[],43,0)</f>
        <v>#N/A</v>
      </c>
      <c r="H78" s="53" t="e">
        <f>VLOOKUP(Table110[[#This Row],[FECHA /HORA]],TBL_CalcDarwin[],40,0)</f>
        <v>#N/A</v>
      </c>
      <c r="I78" s="53" t="e">
        <f>VLOOKUP(Table110[[#This Row],[FECHA /HORA]],TBL_CalcDarwin[],41,0)</f>
        <v>#N/A</v>
      </c>
      <c r="J78" s="53" t="e">
        <f>Table110[[#This Row],[MW Proyectada (Barra A)]]+Table110[[#This Row],[MW Proyectada (Barra B)]]</f>
        <v>#N/A</v>
      </c>
      <c r="L78" s="53" t="e">
        <f t="shared" si="3"/>
        <v>#N/A</v>
      </c>
      <c r="M78" s="53" t="e">
        <f>IF(Table110[[#This Row],[TOTAL MW]]&lt;165,Table110[[#This Row],[MW Proyectada (Barra A)]],Table110[[#This Row],[MW Proyectada (Barra A)]]*165/Table110[[#This Row],[TOTAL MW]])</f>
        <v>#N/A</v>
      </c>
      <c r="N78" s="53" t="e">
        <f>IF(Table110[[#This Row],[TOTAL MW]]&lt;165,Table110[[#This Row],[MW Proyectada (Barra B)]],Table110[[#This Row],[MW Proyectada (Barra B)]]*165/Table110[[#This Row],[TOTAL MW]])</f>
        <v>#N/A</v>
      </c>
      <c r="P78" s="90"/>
      <c r="Q78" s="90"/>
      <c r="R78" s="93"/>
      <c r="S78" s="93"/>
    </row>
    <row r="79" spans="2:19" x14ac:dyDescent="0.25">
      <c r="B79" s="91">
        <f t="shared" si="4"/>
        <v>45586.249999999818</v>
      </c>
      <c r="C79" s="52">
        <f t="shared" si="5"/>
        <v>3.2499999999999969</v>
      </c>
      <c r="D79" s="92">
        <f>Table110[[#This Row],[Fecha]]</f>
        <v>45586.249999999818</v>
      </c>
      <c r="E79" s="53" t="e">
        <f>VLOOKUP(Table110[[#This Row],[FECHA /HORA]],TBL_CalcDarwin[],7,0)</f>
        <v>#N/A</v>
      </c>
      <c r="F79" s="53" t="e">
        <f>VLOOKUP(Table110[[#This Row],[FECHA /HORA]],TBL_CalcDarwin[],42,0)</f>
        <v>#N/A</v>
      </c>
      <c r="G79" s="53" t="e">
        <f>VLOOKUP(Table110[[#This Row],[FECHA /HORA]],TBL_CalcDarwin[],43,0)</f>
        <v>#N/A</v>
      </c>
      <c r="H79" s="53" t="e">
        <f>VLOOKUP(Table110[[#This Row],[FECHA /HORA]],TBL_CalcDarwin[],40,0)</f>
        <v>#N/A</v>
      </c>
      <c r="I79" s="53" t="e">
        <f>VLOOKUP(Table110[[#This Row],[FECHA /HORA]],TBL_CalcDarwin[],41,0)</f>
        <v>#N/A</v>
      </c>
      <c r="J79" s="53" t="e">
        <f>Table110[[#This Row],[MW Proyectada (Barra A)]]+Table110[[#This Row],[MW Proyectada (Barra B)]]</f>
        <v>#N/A</v>
      </c>
      <c r="L79" s="53" t="e">
        <f t="shared" si="3"/>
        <v>#N/A</v>
      </c>
      <c r="M79" s="53" t="e">
        <f>IF(Table110[[#This Row],[TOTAL MW]]&lt;165,Table110[[#This Row],[MW Proyectada (Barra A)]],Table110[[#This Row],[MW Proyectada (Barra A)]]*165/Table110[[#This Row],[TOTAL MW]])</f>
        <v>#N/A</v>
      </c>
      <c r="N79" s="53" t="e">
        <f>IF(Table110[[#This Row],[TOTAL MW]]&lt;165,Table110[[#This Row],[MW Proyectada (Barra B)]],Table110[[#This Row],[MW Proyectada (Barra B)]]*165/Table110[[#This Row],[TOTAL MW]])</f>
        <v>#N/A</v>
      </c>
      <c r="P79" s="90"/>
      <c r="Q79" s="90"/>
      <c r="R79" s="93"/>
      <c r="S79" s="93"/>
    </row>
    <row r="80" spans="2:19" x14ac:dyDescent="0.25">
      <c r="B80" s="91">
        <f t="shared" si="4"/>
        <v>45586.291666666482</v>
      </c>
      <c r="C80" s="52">
        <f t="shared" si="5"/>
        <v>3.2916666666666634</v>
      </c>
      <c r="D80" s="92">
        <f>Table110[[#This Row],[Fecha]]</f>
        <v>45586.291666666482</v>
      </c>
      <c r="E80" s="53" t="e">
        <f>VLOOKUP(Table110[[#This Row],[FECHA /HORA]],TBL_CalcDarwin[],7,0)</f>
        <v>#N/A</v>
      </c>
      <c r="F80" s="53" t="e">
        <f>VLOOKUP(Table110[[#This Row],[FECHA /HORA]],TBL_CalcDarwin[],42,0)</f>
        <v>#N/A</v>
      </c>
      <c r="G80" s="53" t="e">
        <f>VLOOKUP(Table110[[#This Row],[FECHA /HORA]],TBL_CalcDarwin[],43,0)</f>
        <v>#N/A</v>
      </c>
      <c r="H80" s="53" t="e">
        <f>VLOOKUP(Table110[[#This Row],[FECHA /HORA]],TBL_CalcDarwin[],40,0)</f>
        <v>#N/A</v>
      </c>
      <c r="I80" s="53" t="e">
        <f>VLOOKUP(Table110[[#This Row],[FECHA /HORA]],TBL_CalcDarwin[],41,0)</f>
        <v>#N/A</v>
      </c>
      <c r="J80" s="53" t="e">
        <f>Table110[[#This Row],[MW Proyectada (Barra A)]]+Table110[[#This Row],[MW Proyectada (Barra B)]]</f>
        <v>#N/A</v>
      </c>
      <c r="L80" s="53" t="e">
        <f t="shared" si="3"/>
        <v>#N/A</v>
      </c>
      <c r="M80" s="53" t="e">
        <f>IF(Table110[[#This Row],[TOTAL MW]]&lt;165,Table110[[#This Row],[MW Proyectada (Barra A)]],Table110[[#This Row],[MW Proyectada (Barra A)]]*165/Table110[[#This Row],[TOTAL MW]])</f>
        <v>#N/A</v>
      </c>
      <c r="N80" s="53" t="e">
        <f>IF(Table110[[#This Row],[TOTAL MW]]&lt;165,Table110[[#This Row],[MW Proyectada (Barra B)]],Table110[[#This Row],[MW Proyectada (Barra B)]]*165/Table110[[#This Row],[TOTAL MW]])</f>
        <v>#N/A</v>
      </c>
      <c r="P80" s="90"/>
      <c r="Q80" s="90"/>
      <c r="R80" s="93"/>
      <c r="S80" s="93"/>
    </row>
    <row r="81" spans="2:19" x14ac:dyDescent="0.25">
      <c r="B81" s="91">
        <f t="shared" si="4"/>
        <v>45586.333333333147</v>
      </c>
      <c r="C81" s="52">
        <f t="shared" si="5"/>
        <v>3.3333333333333299</v>
      </c>
      <c r="D81" s="92">
        <f>Table110[[#This Row],[Fecha]]</f>
        <v>45586.333333333147</v>
      </c>
      <c r="E81" s="53" t="e">
        <f>VLOOKUP(Table110[[#This Row],[FECHA /HORA]],TBL_CalcDarwin[],7,0)</f>
        <v>#N/A</v>
      </c>
      <c r="F81" s="53" t="e">
        <f>VLOOKUP(Table110[[#This Row],[FECHA /HORA]],TBL_CalcDarwin[],42,0)</f>
        <v>#N/A</v>
      </c>
      <c r="G81" s="53" t="e">
        <f>VLOOKUP(Table110[[#This Row],[FECHA /HORA]],TBL_CalcDarwin[],43,0)</f>
        <v>#N/A</v>
      </c>
      <c r="H81" s="53" t="e">
        <f>VLOOKUP(Table110[[#This Row],[FECHA /HORA]],TBL_CalcDarwin[],40,0)</f>
        <v>#N/A</v>
      </c>
      <c r="I81" s="53" t="e">
        <f>VLOOKUP(Table110[[#This Row],[FECHA /HORA]],TBL_CalcDarwin[],41,0)</f>
        <v>#N/A</v>
      </c>
      <c r="J81" s="53" t="e">
        <f>Table110[[#This Row],[MW Proyectada (Barra A)]]+Table110[[#This Row],[MW Proyectada (Barra B)]]</f>
        <v>#N/A</v>
      </c>
      <c r="L81" s="53" t="e">
        <f t="shared" si="3"/>
        <v>#N/A</v>
      </c>
      <c r="M81" s="53" t="e">
        <f>IF(Table110[[#This Row],[TOTAL MW]]&lt;165,Table110[[#This Row],[MW Proyectada (Barra A)]],Table110[[#This Row],[MW Proyectada (Barra A)]]*165/Table110[[#This Row],[TOTAL MW]])</f>
        <v>#N/A</v>
      </c>
      <c r="N81" s="53" t="e">
        <f>IF(Table110[[#This Row],[TOTAL MW]]&lt;165,Table110[[#This Row],[MW Proyectada (Barra B)]],Table110[[#This Row],[MW Proyectada (Barra B)]]*165/Table110[[#This Row],[TOTAL MW]])</f>
        <v>#N/A</v>
      </c>
      <c r="P81" s="90"/>
      <c r="Q81" s="90"/>
      <c r="R81" s="93"/>
      <c r="S81" s="93"/>
    </row>
    <row r="82" spans="2:19" x14ac:dyDescent="0.25">
      <c r="B82" s="91">
        <f t="shared" si="4"/>
        <v>45586.374999999811</v>
      </c>
      <c r="C82" s="52">
        <f t="shared" si="5"/>
        <v>3.3749999999999964</v>
      </c>
      <c r="D82" s="92">
        <f>Table110[[#This Row],[Fecha]]</f>
        <v>45586.374999999811</v>
      </c>
      <c r="E82" s="53" t="e">
        <f>VLOOKUP(Table110[[#This Row],[FECHA /HORA]],TBL_CalcDarwin[],7,0)</f>
        <v>#N/A</v>
      </c>
      <c r="F82" s="53" t="e">
        <f>VLOOKUP(Table110[[#This Row],[FECHA /HORA]],TBL_CalcDarwin[],42,0)</f>
        <v>#N/A</v>
      </c>
      <c r="G82" s="53" t="e">
        <f>VLOOKUP(Table110[[#This Row],[FECHA /HORA]],TBL_CalcDarwin[],43,0)</f>
        <v>#N/A</v>
      </c>
      <c r="H82" s="53" t="e">
        <f>VLOOKUP(Table110[[#This Row],[FECHA /HORA]],TBL_CalcDarwin[],40,0)</f>
        <v>#N/A</v>
      </c>
      <c r="I82" s="53" t="e">
        <f>VLOOKUP(Table110[[#This Row],[FECHA /HORA]],TBL_CalcDarwin[],41,0)</f>
        <v>#N/A</v>
      </c>
      <c r="J82" s="53" t="e">
        <f>Table110[[#This Row],[MW Proyectada (Barra A)]]+Table110[[#This Row],[MW Proyectada (Barra B)]]</f>
        <v>#N/A</v>
      </c>
      <c r="L82" s="53" t="e">
        <f t="shared" si="3"/>
        <v>#N/A</v>
      </c>
      <c r="M82" s="53" t="e">
        <f>IF(Table110[[#This Row],[TOTAL MW]]&lt;165,Table110[[#This Row],[MW Proyectada (Barra A)]],Table110[[#This Row],[MW Proyectada (Barra A)]]*165/Table110[[#This Row],[TOTAL MW]])</f>
        <v>#N/A</v>
      </c>
      <c r="N82" s="53" t="e">
        <f>IF(Table110[[#This Row],[TOTAL MW]]&lt;165,Table110[[#This Row],[MW Proyectada (Barra B)]],Table110[[#This Row],[MW Proyectada (Barra B)]]*165/Table110[[#This Row],[TOTAL MW]])</f>
        <v>#N/A</v>
      </c>
      <c r="P82" s="90"/>
      <c r="Q82" s="90"/>
      <c r="R82" s="93"/>
      <c r="S82" s="93"/>
    </row>
    <row r="83" spans="2:19" x14ac:dyDescent="0.25">
      <c r="B83" s="91">
        <f t="shared" si="4"/>
        <v>45586.416666666475</v>
      </c>
      <c r="C83" s="52">
        <f t="shared" si="5"/>
        <v>3.416666666666663</v>
      </c>
      <c r="D83" s="92">
        <f>Table110[[#This Row],[Fecha]]</f>
        <v>45586.416666666475</v>
      </c>
      <c r="E83" s="53" t="e">
        <f>VLOOKUP(Table110[[#This Row],[FECHA /HORA]],TBL_CalcDarwin[],7,0)</f>
        <v>#N/A</v>
      </c>
      <c r="F83" s="53" t="e">
        <f>VLOOKUP(Table110[[#This Row],[FECHA /HORA]],TBL_CalcDarwin[],42,0)</f>
        <v>#N/A</v>
      </c>
      <c r="G83" s="53" t="e">
        <f>VLOOKUP(Table110[[#This Row],[FECHA /HORA]],TBL_CalcDarwin[],43,0)</f>
        <v>#N/A</v>
      </c>
      <c r="H83" s="53" t="e">
        <f>VLOOKUP(Table110[[#This Row],[FECHA /HORA]],TBL_CalcDarwin[],40,0)</f>
        <v>#N/A</v>
      </c>
      <c r="I83" s="53" t="e">
        <f>VLOOKUP(Table110[[#This Row],[FECHA /HORA]],TBL_CalcDarwin[],41,0)</f>
        <v>#N/A</v>
      </c>
      <c r="J83" s="53" t="e">
        <f>Table110[[#This Row],[MW Proyectada (Barra A)]]+Table110[[#This Row],[MW Proyectada (Barra B)]]</f>
        <v>#N/A</v>
      </c>
      <c r="L83" s="53" t="e">
        <f t="shared" si="3"/>
        <v>#N/A</v>
      </c>
      <c r="M83" s="53" t="e">
        <f>IF(Table110[[#This Row],[TOTAL MW]]&lt;165,Table110[[#This Row],[MW Proyectada (Barra A)]],Table110[[#This Row],[MW Proyectada (Barra A)]]*165/Table110[[#This Row],[TOTAL MW]])</f>
        <v>#N/A</v>
      </c>
      <c r="N83" s="53" t="e">
        <f>IF(Table110[[#This Row],[TOTAL MW]]&lt;165,Table110[[#This Row],[MW Proyectada (Barra B)]],Table110[[#This Row],[MW Proyectada (Barra B)]]*165/Table110[[#This Row],[TOTAL MW]])</f>
        <v>#N/A</v>
      </c>
      <c r="P83" s="90"/>
      <c r="Q83" s="90"/>
      <c r="R83" s="93"/>
      <c r="S83" s="93"/>
    </row>
    <row r="84" spans="2:19" x14ac:dyDescent="0.25">
      <c r="B84" s="91">
        <f t="shared" si="4"/>
        <v>45586.458333333139</v>
      </c>
      <c r="C84" s="52">
        <f t="shared" si="5"/>
        <v>3.4583333333333295</v>
      </c>
      <c r="D84" s="92">
        <f>Table110[[#This Row],[Fecha]]</f>
        <v>45586.458333333139</v>
      </c>
      <c r="E84" s="53" t="e">
        <f>VLOOKUP(Table110[[#This Row],[FECHA /HORA]],TBL_CalcDarwin[],7,0)</f>
        <v>#N/A</v>
      </c>
      <c r="F84" s="53" t="e">
        <f>VLOOKUP(Table110[[#This Row],[FECHA /HORA]],TBL_CalcDarwin[],42,0)</f>
        <v>#N/A</v>
      </c>
      <c r="G84" s="53" t="e">
        <f>VLOOKUP(Table110[[#This Row],[FECHA /HORA]],TBL_CalcDarwin[],43,0)</f>
        <v>#N/A</v>
      </c>
      <c r="H84" s="53" t="e">
        <f>VLOOKUP(Table110[[#This Row],[FECHA /HORA]],TBL_CalcDarwin[],40,0)</f>
        <v>#N/A</v>
      </c>
      <c r="I84" s="53" t="e">
        <f>VLOOKUP(Table110[[#This Row],[FECHA /HORA]],TBL_CalcDarwin[],41,0)</f>
        <v>#N/A</v>
      </c>
      <c r="J84" s="53" t="e">
        <f>Table110[[#This Row],[MW Proyectada (Barra A)]]+Table110[[#This Row],[MW Proyectada (Barra B)]]</f>
        <v>#N/A</v>
      </c>
      <c r="L84" s="53" t="e">
        <f t="shared" si="3"/>
        <v>#N/A</v>
      </c>
      <c r="M84" s="53" t="e">
        <f>IF(Table110[[#This Row],[TOTAL MW]]&lt;165,Table110[[#This Row],[MW Proyectada (Barra A)]],Table110[[#This Row],[MW Proyectada (Barra A)]]*165/Table110[[#This Row],[TOTAL MW]])</f>
        <v>#N/A</v>
      </c>
      <c r="N84" s="53" t="e">
        <f>IF(Table110[[#This Row],[TOTAL MW]]&lt;165,Table110[[#This Row],[MW Proyectada (Barra B)]],Table110[[#This Row],[MW Proyectada (Barra B)]]*165/Table110[[#This Row],[TOTAL MW]])</f>
        <v>#N/A</v>
      </c>
      <c r="P84" s="90"/>
      <c r="Q84" s="90"/>
      <c r="R84" s="93"/>
      <c r="S84" s="93"/>
    </row>
    <row r="85" spans="2:19" x14ac:dyDescent="0.25">
      <c r="B85" s="91">
        <f t="shared" si="4"/>
        <v>45586.499999999804</v>
      </c>
      <c r="C85" s="52">
        <f t="shared" si="5"/>
        <v>3.499999999999996</v>
      </c>
      <c r="D85" s="92">
        <f>Table110[[#This Row],[Fecha]]</f>
        <v>45586.499999999804</v>
      </c>
      <c r="E85" s="53" t="e">
        <f>VLOOKUP(Table110[[#This Row],[FECHA /HORA]],TBL_CalcDarwin[],7,0)</f>
        <v>#N/A</v>
      </c>
      <c r="F85" s="53" t="e">
        <f>VLOOKUP(Table110[[#This Row],[FECHA /HORA]],TBL_CalcDarwin[],42,0)</f>
        <v>#N/A</v>
      </c>
      <c r="G85" s="53" t="e">
        <f>VLOOKUP(Table110[[#This Row],[FECHA /HORA]],TBL_CalcDarwin[],43,0)</f>
        <v>#N/A</v>
      </c>
      <c r="H85" s="53" t="e">
        <f>VLOOKUP(Table110[[#This Row],[FECHA /HORA]],TBL_CalcDarwin[],40,0)</f>
        <v>#N/A</v>
      </c>
      <c r="I85" s="53" t="e">
        <f>VLOOKUP(Table110[[#This Row],[FECHA /HORA]],TBL_CalcDarwin[],41,0)</f>
        <v>#N/A</v>
      </c>
      <c r="J85" s="53" t="e">
        <f>Table110[[#This Row],[MW Proyectada (Barra A)]]+Table110[[#This Row],[MW Proyectada (Barra B)]]</f>
        <v>#N/A</v>
      </c>
      <c r="L85" s="53" t="e">
        <f t="shared" si="3"/>
        <v>#N/A</v>
      </c>
      <c r="M85" s="53" t="e">
        <f>IF(Table110[[#This Row],[TOTAL MW]]&lt;165,Table110[[#This Row],[MW Proyectada (Barra A)]],Table110[[#This Row],[MW Proyectada (Barra A)]]*165/Table110[[#This Row],[TOTAL MW]])</f>
        <v>#N/A</v>
      </c>
      <c r="N85" s="53" t="e">
        <f>IF(Table110[[#This Row],[TOTAL MW]]&lt;165,Table110[[#This Row],[MW Proyectada (Barra B)]],Table110[[#This Row],[MW Proyectada (Barra B)]]*165/Table110[[#This Row],[TOTAL MW]])</f>
        <v>#N/A</v>
      </c>
      <c r="P85" s="90"/>
      <c r="Q85" s="90"/>
      <c r="R85" s="93"/>
      <c r="S85" s="93"/>
    </row>
    <row r="86" spans="2:19" x14ac:dyDescent="0.25">
      <c r="B86" s="91">
        <f t="shared" si="4"/>
        <v>45586.541666666468</v>
      </c>
      <c r="C86" s="52">
        <f t="shared" si="5"/>
        <v>3.5416666666666625</v>
      </c>
      <c r="D86" s="92">
        <f>Table110[[#This Row],[Fecha]]</f>
        <v>45586.541666666468</v>
      </c>
      <c r="E86" s="53" t="e">
        <f>VLOOKUP(Table110[[#This Row],[FECHA /HORA]],TBL_CalcDarwin[],7,0)</f>
        <v>#N/A</v>
      </c>
      <c r="F86" s="53" t="e">
        <f>VLOOKUP(Table110[[#This Row],[FECHA /HORA]],TBL_CalcDarwin[],42,0)</f>
        <v>#N/A</v>
      </c>
      <c r="G86" s="53" t="e">
        <f>VLOOKUP(Table110[[#This Row],[FECHA /HORA]],TBL_CalcDarwin[],43,0)</f>
        <v>#N/A</v>
      </c>
      <c r="H86" s="53" t="e">
        <f>VLOOKUP(Table110[[#This Row],[FECHA /HORA]],TBL_CalcDarwin[],40,0)</f>
        <v>#N/A</v>
      </c>
      <c r="I86" s="53" t="e">
        <f>VLOOKUP(Table110[[#This Row],[FECHA /HORA]],TBL_CalcDarwin[],41,0)</f>
        <v>#N/A</v>
      </c>
      <c r="J86" s="53" t="e">
        <f>Table110[[#This Row],[MW Proyectada (Barra A)]]+Table110[[#This Row],[MW Proyectada (Barra B)]]</f>
        <v>#N/A</v>
      </c>
      <c r="L86" s="53" t="e">
        <f t="shared" si="3"/>
        <v>#N/A</v>
      </c>
      <c r="M86" s="53" t="e">
        <f>IF(Table110[[#This Row],[TOTAL MW]]&lt;165,Table110[[#This Row],[MW Proyectada (Barra A)]],Table110[[#This Row],[MW Proyectada (Barra A)]]*165/Table110[[#This Row],[TOTAL MW]])</f>
        <v>#N/A</v>
      </c>
      <c r="N86" s="53" t="e">
        <f>IF(Table110[[#This Row],[TOTAL MW]]&lt;165,Table110[[#This Row],[MW Proyectada (Barra B)]],Table110[[#This Row],[MW Proyectada (Barra B)]]*165/Table110[[#This Row],[TOTAL MW]])</f>
        <v>#N/A</v>
      </c>
      <c r="P86" s="90"/>
      <c r="Q86" s="90"/>
      <c r="R86" s="93"/>
      <c r="S86" s="93"/>
    </row>
    <row r="87" spans="2:19" x14ac:dyDescent="0.25">
      <c r="B87" s="91">
        <f t="shared" si="4"/>
        <v>45586.583333333132</v>
      </c>
      <c r="C87" s="52">
        <f t="shared" si="5"/>
        <v>3.583333333333329</v>
      </c>
      <c r="D87" s="92">
        <f>Table110[[#This Row],[Fecha]]</f>
        <v>45586.583333333132</v>
      </c>
      <c r="E87" s="53" t="e">
        <f>VLOOKUP(Table110[[#This Row],[FECHA /HORA]],TBL_CalcDarwin[],7,0)</f>
        <v>#N/A</v>
      </c>
      <c r="F87" s="53" t="e">
        <f>VLOOKUP(Table110[[#This Row],[FECHA /HORA]],TBL_CalcDarwin[],42,0)</f>
        <v>#N/A</v>
      </c>
      <c r="G87" s="53" t="e">
        <f>VLOOKUP(Table110[[#This Row],[FECHA /HORA]],TBL_CalcDarwin[],43,0)</f>
        <v>#N/A</v>
      </c>
      <c r="H87" s="53" t="e">
        <f>VLOOKUP(Table110[[#This Row],[FECHA /HORA]],TBL_CalcDarwin[],40,0)</f>
        <v>#N/A</v>
      </c>
      <c r="I87" s="53" t="e">
        <f>VLOOKUP(Table110[[#This Row],[FECHA /HORA]],TBL_CalcDarwin[],41,0)</f>
        <v>#N/A</v>
      </c>
      <c r="J87" s="53" t="e">
        <f>Table110[[#This Row],[MW Proyectada (Barra A)]]+Table110[[#This Row],[MW Proyectada (Barra B)]]</f>
        <v>#N/A</v>
      </c>
      <c r="L87" s="53" t="e">
        <f t="shared" si="3"/>
        <v>#N/A</v>
      </c>
      <c r="M87" s="53" t="e">
        <f>IF(Table110[[#This Row],[TOTAL MW]]&lt;165,Table110[[#This Row],[MW Proyectada (Barra A)]],Table110[[#This Row],[MW Proyectada (Barra A)]]*165/Table110[[#This Row],[TOTAL MW]])</f>
        <v>#N/A</v>
      </c>
      <c r="N87" s="53" t="e">
        <f>IF(Table110[[#This Row],[TOTAL MW]]&lt;165,Table110[[#This Row],[MW Proyectada (Barra B)]],Table110[[#This Row],[MW Proyectada (Barra B)]]*165/Table110[[#This Row],[TOTAL MW]])</f>
        <v>#N/A</v>
      </c>
      <c r="P87" s="90"/>
      <c r="Q87" s="90"/>
      <c r="R87" s="93"/>
      <c r="S87" s="93"/>
    </row>
    <row r="88" spans="2:19" x14ac:dyDescent="0.25">
      <c r="B88" s="91">
        <f t="shared" si="4"/>
        <v>45586.624999999796</v>
      </c>
      <c r="C88" s="52">
        <f t="shared" si="5"/>
        <v>3.6249999999999956</v>
      </c>
      <c r="D88" s="92">
        <f>Table110[[#This Row],[Fecha]]</f>
        <v>45586.624999999796</v>
      </c>
      <c r="E88" s="53" t="e">
        <f>VLOOKUP(Table110[[#This Row],[FECHA /HORA]],TBL_CalcDarwin[],7,0)</f>
        <v>#N/A</v>
      </c>
      <c r="F88" s="53" t="e">
        <f>VLOOKUP(Table110[[#This Row],[FECHA /HORA]],TBL_CalcDarwin[],42,0)</f>
        <v>#N/A</v>
      </c>
      <c r="G88" s="53" t="e">
        <f>VLOOKUP(Table110[[#This Row],[FECHA /HORA]],TBL_CalcDarwin[],43,0)</f>
        <v>#N/A</v>
      </c>
      <c r="H88" s="53" t="e">
        <f>VLOOKUP(Table110[[#This Row],[FECHA /HORA]],TBL_CalcDarwin[],40,0)</f>
        <v>#N/A</v>
      </c>
      <c r="I88" s="53" t="e">
        <f>VLOOKUP(Table110[[#This Row],[FECHA /HORA]],TBL_CalcDarwin[],41,0)</f>
        <v>#N/A</v>
      </c>
      <c r="J88" s="53" t="e">
        <f>Table110[[#This Row],[MW Proyectada (Barra A)]]+Table110[[#This Row],[MW Proyectada (Barra B)]]</f>
        <v>#N/A</v>
      </c>
      <c r="L88" s="53" t="e">
        <f t="shared" si="3"/>
        <v>#N/A</v>
      </c>
      <c r="M88" s="53" t="e">
        <f>IF(Table110[[#This Row],[TOTAL MW]]&lt;165,Table110[[#This Row],[MW Proyectada (Barra A)]],Table110[[#This Row],[MW Proyectada (Barra A)]]*165/Table110[[#This Row],[TOTAL MW]])</f>
        <v>#N/A</v>
      </c>
      <c r="N88" s="53" t="e">
        <f>IF(Table110[[#This Row],[TOTAL MW]]&lt;165,Table110[[#This Row],[MW Proyectada (Barra B)]],Table110[[#This Row],[MW Proyectada (Barra B)]]*165/Table110[[#This Row],[TOTAL MW]])</f>
        <v>#N/A</v>
      </c>
      <c r="P88" s="90"/>
      <c r="Q88" s="90"/>
      <c r="R88" s="93"/>
      <c r="S88" s="93"/>
    </row>
    <row r="89" spans="2:19" x14ac:dyDescent="0.25">
      <c r="B89" s="91">
        <f t="shared" si="4"/>
        <v>45586.666666666461</v>
      </c>
      <c r="C89" s="52">
        <f t="shared" si="5"/>
        <v>3.6666666666666621</v>
      </c>
      <c r="D89" s="92">
        <f>Table110[[#This Row],[Fecha]]</f>
        <v>45586.666666666461</v>
      </c>
      <c r="E89" s="53" t="e">
        <f>VLOOKUP(Table110[[#This Row],[FECHA /HORA]],TBL_CalcDarwin[],7,0)</f>
        <v>#N/A</v>
      </c>
      <c r="F89" s="53" t="e">
        <f>VLOOKUP(Table110[[#This Row],[FECHA /HORA]],TBL_CalcDarwin[],42,0)</f>
        <v>#N/A</v>
      </c>
      <c r="G89" s="53" t="e">
        <f>VLOOKUP(Table110[[#This Row],[FECHA /HORA]],TBL_CalcDarwin[],43,0)</f>
        <v>#N/A</v>
      </c>
      <c r="H89" s="53" t="e">
        <f>VLOOKUP(Table110[[#This Row],[FECHA /HORA]],TBL_CalcDarwin[],40,0)</f>
        <v>#N/A</v>
      </c>
      <c r="I89" s="53" t="e">
        <f>VLOOKUP(Table110[[#This Row],[FECHA /HORA]],TBL_CalcDarwin[],41,0)</f>
        <v>#N/A</v>
      </c>
      <c r="J89" s="53" t="e">
        <f>Table110[[#This Row],[MW Proyectada (Barra A)]]+Table110[[#This Row],[MW Proyectada (Barra B)]]</f>
        <v>#N/A</v>
      </c>
      <c r="L89" s="53" t="e">
        <f t="shared" si="3"/>
        <v>#N/A</v>
      </c>
      <c r="M89" s="53" t="e">
        <f>IF(Table110[[#This Row],[TOTAL MW]]&lt;165,Table110[[#This Row],[MW Proyectada (Barra A)]],Table110[[#This Row],[MW Proyectada (Barra A)]]*165/Table110[[#This Row],[TOTAL MW]])</f>
        <v>#N/A</v>
      </c>
      <c r="N89" s="53" t="e">
        <f>IF(Table110[[#This Row],[TOTAL MW]]&lt;165,Table110[[#This Row],[MW Proyectada (Barra B)]],Table110[[#This Row],[MW Proyectada (Barra B)]]*165/Table110[[#This Row],[TOTAL MW]])</f>
        <v>#N/A</v>
      </c>
      <c r="P89" s="90"/>
      <c r="Q89" s="90"/>
      <c r="R89" s="93"/>
      <c r="S89" s="93"/>
    </row>
    <row r="90" spans="2:19" x14ac:dyDescent="0.25">
      <c r="B90" s="91">
        <f t="shared" si="4"/>
        <v>45586.708333333125</v>
      </c>
      <c r="C90" s="52">
        <f t="shared" si="5"/>
        <v>3.7083333333333286</v>
      </c>
      <c r="D90" s="92">
        <f>Table110[[#This Row],[Fecha]]</f>
        <v>45586.708333333125</v>
      </c>
      <c r="E90" s="53" t="e">
        <f>VLOOKUP(Table110[[#This Row],[FECHA /HORA]],TBL_CalcDarwin[],7,0)</f>
        <v>#N/A</v>
      </c>
      <c r="F90" s="53" t="e">
        <f>VLOOKUP(Table110[[#This Row],[FECHA /HORA]],TBL_CalcDarwin[],42,0)</f>
        <v>#N/A</v>
      </c>
      <c r="G90" s="53" t="e">
        <f>VLOOKUP(Table110[[#This Row],[FECHA /HORA]],TBL_CalcDarwin[],43,0)</f>
        <v>#N/A</v>
      </c>
      <c r="H90" s="53" t="e">
        <f>VLOOKUP(Table110[[#This Row],[FECHA /HORA]],TBL_CalcDarwin[],40,0)</f>
        <v>#N/A</v>
      </c>
      <c r="I90" s="53" t="e">
        <f>VLOOKUP(Table110[[#This Row],[FECHA /HORA]],TBL_CalcDarwin[],41,0)</f>
        <v>#N/A</v>
      </c>
      <c r="J90" s="53" t="e">
        <f>Table110[[#This Row],[MW Proyectada (Barra A)]]+Table110[[#This Row],[MW Proyectada (Barra B)]]</f>
        <v>#N/A</v>
      </c>
      <c r="L90" s="53" t="e">
        <f t="shared" si="3"/>
        <v>#N/A</v>
      </c>
      <c r="M90" s="53" t="e">
        <f>IF(Table110[[#This Row],[TOTAL MW]]&lt;165,Table110[[#This Row],[MW Proyectada (Barra A)]],Table110[[#This Row],[MW Proyectada (Barra A)]]*165/Table110[[#This Row],[TOTAL MW]])</f>
        <v>#N/A</v>
      </c>
      <c r="N90" s="53" t="e">
        <f>IF(Table110[[#This Row],[TOTAL MW]]&lt;165,Table110[[#This Row],[MW Proyectada (Barra B)]],Table110[[#This Row],[MW Proyectada (Barra B)]]*165/Table110[[#This Row],[TOTAL MW]])</f>
        <v>#N/A</v>
      </c>
      <c r="P90" s="90"/>
      <c r="Q90" s="90"/>
      <c r="R90" s="93"/>
      <c r="S90" s="93"/>
    </row>
    <row r="91" spans="2:19" x14ac:dyDescent="0.25">
      <c r="B91" s="91">
        <f t="shared" si="4"/>
        <v>45586.749999999789</v>
      </c>
      <c r="C91" s="52">
        <f t="shared" si="5"/>
        <v>3.7499999999999951</v>
      </c>
      <c r="D91" s="92">
        <f>Table110[[#This Row],[Fecha]]</f>
        <v>45586.749999999789</v>
      </c>
      <c r="E91" s="53" t="e">
        <f>VLOOKUP(Table110[[#This Row],[FECHA /HORA]],TBL_CalcDarwin[],7,0)</f>
        <v>#N/A</v>
      </c>
      <c r="F91" s="53" t="e">
        <f>VLOOKUP(Table110[[#This Row],[FECHA /HORA]],TBL_CalcDarwin[],42,0)</f>
        <v>#N/A</v>
      </c>
      <c r="G91" s="53" t="e">
        <f>VLOOKUP(Table110[[#This Row],[FECHA /HORA]],TBL_CalcDarwin[],43,0)</f>
        <v>#N/A</v>
      </c>
      <c r="H91" s="53" t="e">
        <f>VLOOKUP(Table110[[#This Row],[FECHA /HORA]],TBL_CalcDarwin[],40,0)</f>
        <v>#N/A</v>
      </c>
      <c r="I91" s="53" t="e">
        <f>VLOOKUP(Table110[[#This Row],[FECHA /HORA]],TBL_CalcDarwin[],41,0)</f>
        <v>#N/A</v>
      </c>
      <c r="J91" s="53" t="e">
        <f>Table110[[#This Row],[MW Proyectada (Barra A)]]+Table110[[#This Row],[MW Proyectada (Barra B)]]</f>
        <v>#N/A</v>
      </c>
      <c r="L91" s="53" t="e">
        <f t="shared" si="3"/>
        <v>#N/A</v>
      </c>
      <c r="M91" s="53" t="e">
        <f>IF(Table110[[#This Row],[TOTAL MW]]&lt;165,Table110[[#This Row],[MW Proyectada (Barra A)]],Table110[[#This Row],[MW Proyectada (Barra A)]]*165/Table110[[#This Row],[TOTAL MW]])</f>
        <v>#N/A</v>
      </c>
      <c r="N91" s="53" t="e">
        <f>IF(Table110[[#This Row],[TOTAL MW]]&lt;165,Table110[[#This Row],[MW Proyectada (Barra B)]],Table110[[#This Row],[MW Proyectada (Barra B)]]*165/Table110[[#This Row],[TOTAL MW]])</f>
        <v>#N/A</v>
      </c>
      <c r="P91" s="90"/>
      <c r="Q91" s="90"/>
      <c r="R91" s="93"/>
      <c r="S91" s="93"/>
    </row>
    <row r="92" spans="2:19" x14ac:dyDescent="0.25">
      <c r="B92" s="91">
        <f t="shared" si="4"/>
        <v>45586.791666666453</v>
      </c>
      <c r="C92" s="52">
        <f t="shared" si="5"/>
        <v>3.7916666666666616</v>
      </c>
      <c r="D92" s="92">
        <f>Table110[[#This Row],[Fecha]]</f>
        <v>45586.791666666453</v>
      </c>
      <c r="E92" s="53" t="e">
        <f>VLOOKUP(Table110[[#This Row],[FECHA /HORA]],TBL_CalcDarwin[],7,0)</f>
        <v>#N/A</v>
      </c>
      <c r="F92" s="53" t="e">
        <f>VLOOKUP(Table110[[#This Row],[FECHA /HORA]],TBL_CalcDarwin[],42,0)</f>
        <v>#N/A</v>
      </c>
      <c r="G92" s="53" t="e">
        <f>VLOOKUP(Table110[[#This Row],[FECHA /HORA]],TBL_CalcDarwin[],43,0)</f>
        <v>#N/A</v>
      </c>
      <c r="H92" s="53" t="e">
        <f>VLOOKUP(Table110[[#This Row],[FECHA /HORA]],TBL_CalcDarwin[],40,0)</f>
        <v>#N/A</v>
      </c>
      <c r="I92" s="53" t="e">
        <f>VLOOKUP(Table110[[#This Row],[FECHA /HORA]],TBL_CalcDarwin[],41,0)</f>
        <v>#N/A</v>
      </c>
      <c r="J92" s="53" t="e">
        <f>Table110[[#This Row],[MW Proyectada (Barra A)]]+Table110[[#This Row],[MW Proyectada (Barra B)]]</f>
        <v>#N/A</v>
      </c>
      <c r="L92" s="53" t="e">
        <f t="shared" si="3"/>
        <v>#N/A</v>
      </c>
      <c r="M92" s="53" t="e">
        <f>IF(Table110[[#This Row],[TOTAL MW]]&lt;165,Table110[[#This Row],[MW Proyectada (Barra A)]],Table110[[#This Row],[MW Proyectada (Barra A)]]*165/Table110[[#This Row],[TOTAL MW]])</f>
        <v>#N/A</v>
      </c>
      <c r="N92" s="53" t="e">
        <f>IF(Table110[[#This Row],[TOTAL MW]]&lt;165,Table110[[#This Row],[MW Proyectada (Barra B)]],Table110[[#This Row],[MW Proyectada (Barra B)]]*165/Table110[[#This Row],[TOTAL MW]])</f>
        <v>#N/A</v>
      </c>
      <c r="P92" s="90"/>
      <c r="Q92" s="90"/>
      <c r="R92" s="93"/>
      <c r="S92" s="93"/>
    </row>
    <row r="93" spans="2:19" x14ac:dyDescent="0.25">
      <c r="B93" s="91">
        <f t="shared" si="4"/>
        <v>45586.833333333117</v>
      </c>
      <c r="C93" s="52">
        <f t="shared" si="5"/>
        <v>3.8333333333333282</v>
      </c>
      <c r="D93" s="92">
        <f>Table110[[#This Row],[Fecha]]</f>
        <v>45586.833333333117</v>
      </c>
      <c r="E93" s="53" t="e">
        <f>VLOOKUP(Table110[[#This Row],[FECHA /HORA]],TBL_CalcDarwin[],7,0)</f>
        <v>#N/A</v>
      </c>
      <c r="F93" s="53" t="e">
        <f>VLOOKUP(Table110[[#This Row],[FECHA /HORA]],TBL_CalcDarwin[],42,0)</f>
        <v>#N/A</v>
      </c>
      <c r="G93" s="53" t="e">
        <f>VLOOKUP(Table110[[#This Row],[FECHA /HORA]],TBL_CalcDarwin[],43,0)</f>
        <v>#N/A</v>
      </c>
      <c r="H93" s="53" t="e">
        <f>VLOOKUP(Table110[[#This Row],[FECHA /HORA]],TBL_CalcDarwin[],40,0)</f>
        <v>#N/A</v>
      </c>
      <c r="I93" s="53" t="e">
        <f>VLOOKUP(Table110[[#This Row],[FECHA /HORA]],TBL_CalcDarwin[],41,0)</f>
        <v>#N/A</v>
      </c>
      <c r="J93" s="53" t="e">
        <f>Table110[[#This Row],[MW Proyectada (Barra A)]]+Table110[[#This Row],[MW Proyectada (Barra B)]]</f>
        <v>#N/A</v>
      </c>
      <c r="L93" s="53" t="e">
        <f t="shared" si="3"/>
        <v>#N/A</v>
      </c>
      <c r="M93" s="53" t="e">
        <f>IF(Table110[[#This Row],[TOTAL MW]]&lt;165,Table110[[#This Row],[MW Proyectada (Barra A)]],Table110[[#This Row],[MW Proyectada (Barra A)]]*165/Table110[[#This Row],[TOTAL MW]])</f>
        <v>#N/A</v>
      </c>
      <c r="N93" s="53" t="e">
        <f>IF(Table110[[#This Row],[TOTAL MW]]&lt;165,Table110[[#This Row],[MW Proyectada (Barra B)]],Table110[[#This Row],[MW Proyectada (Barra B)]]*165/Table110[[#This Row],[TOTAL MW]])</f>
        <v>#N/A</v>
      </c>
      <c r="P93" s="90"/>
      <c r="Q93" s="90"/>
      <c r="R93" s="93"/>
      <c r="S93" s="93"/>
    </row>
    <row r="94" spans="2:19" x14ac:dyDescent="0.25">
      <c r="B94" s="91">
        <f t="shared" si="4"/>
        <v>45586.874999999782</v>
      </c>
      <c r="C94" s="52">
        <f t="shared" si="5"/>
        <v>3.8749999999999947</v>
      </c>
      <c r="D94" s="92">
        <f>Table110[[#This Row],[Fecha]]</f>
        <v>45586.874999999782</v>
      </c>
      <c r="E94" s="53" t="e">
        <f>VLOOKUP(Table110[[#This Row],[FECHA /HORA]],TBL_CalcDarwin[],7,0)</f>
        <v>#N/A</v>
      </c>
      <c r="F94" s="53" t="e">
        <f>VLOOKUP(Table110[[#This Row],[FECHA /HORA]],TBL_CalcDarwin[],42,0)</f>
        <v>#N/A</v>
      </c>
      <c r="G94" s="53" t="e">
        <f>VLOOKUP(Table110[[#This Row],[FECHA /HORA]],TBL_CalcDarwin[],43,0)</f>
        <v>#N/A</v>
      </c>
      <c r="H94" s="53" t="e">
        <f>VLOOKUP(Table110[[#This Row],[FECHA /HORA]],TBL_CalcDarwin[],40,0)</f>
        <v>#N/A</v>
      </c>
      <c r="I94" s="53" t="e">
        <f>VLOOKUP(Table110[[#This Row],[FECHA /HORA]],TBL_CalcDarwin[],41,0)</f>
        <v>#N/A</v>
      </c>
      <c r="J94" s="53" t="e">
        <f>Table110[[#This Row],[MW Proyectada (Barra A)]]+Table110[[#This Row],[MW Proyectada (Barra B)]]</f>
        <v>#N/A</v>
      </c>
      <c r="L94" s="53" t="e">
        <f t="shared" si="3"/>
        <v>#N/A</v>
      </c>
      <c r="M94" s="53" t="e">
        <f>IF(Table110[[#This Row],[TOTAL MW]]&lt;165,Table110[[#This Row],[MW Proyectada (Barra A)]],Table110[[#This Row],[MW Proyectada (Barra A)]]*165/Table110[[#This Row],[TOTAL MW]])</f>
        <v>#N/A</v>
      </c>
      <c r="N94" s="53" t="e">
        <f>IF(Table110[[#This Row],[TOTAL MW]]&lt;165,Table110[[#This Row],[MW Proyectada (Barra B)]],Table110[[#This Row],[MW Proyectada (Barra B)]]*165/Table110[[#This Row],[TOTAL MW]])</f>
        <v>#N/A</v>
      </c>
      <c r="P94" s="90"/>
      <c r="Q94" s="90"/>
      <c r="R94" s="93"/>
      <c r="S94" s="93"/>
    </row>
    <row r="95" spans="2:19" x14ac:dyDescent="0.25">
      <c r="B95" s="91">
        <f t="shared" si="4"/>
        <v>45586.916666666446</v>
      </c>
      <c r="C95" s="52">
        <f t="shared" si="5"/>
        <v>3.9166666666666612</v>
      </c>
      <c r="D95" s="92">
        <f>Table110[[#This Row],[Fecha]]</f>
        <v>45586.916666666446</v>
      </c>
      <c r="E95" s="53" t="e">
        <f>VLOOKUP(Table110[[#This Row],[FECHA /HORA]],TBL_CalcDarwin[],7,0)</f>
        <v>#N/A</v>
      </c>
      <c r="F95" s="53" t="e">
        <f>VLOOKUP(Table110[[#This Row],[FECHA /HORA]],TBL_CalcDarwin[],42,0)</f>
        <v>#N/A</v>
      </c>
      <c r="G95" s="53" t="e">
        <f>VLOOKUP(Table110[[#This Row],[FECHA /HORA]],TBL_CalcDarwin[],43,0)</f>
        <v>#N/A</v>
      </c>
      <c r="H95" s="53" t="e">
        <f>VLOOKUP(Table110[[#This Row],[FECHA /HORA]],TBL_CalcDarwin[],40,0)</f>
        <v>#N/A</v>
      </c>
      <c r="I95" s="53" t="e">
        <f>VLOOKUP(Table110[[#This Row],[FECHA /HORA]],TBL_CalcDarwin[],41,0)</f>
        <v>#N/A</v>
      </c>
      <c r="J95" s="53" t="e">
        <f>Table110[[#This Row],[MW Proyectada (Barra A)]]+Table110[[#This Row],[MW Proyectada (Barra B)]]</f>
        <v>#N/A</v>
      </c>
      <c r="L95" s="53" t="e">
        <f t="shared" si="3"/>
        <v>#N/A</v>
      </c>
      <c r="M95" s="53" t="e">
        <f>IF(Table110[[#This Row],[TOTAL MW]]&lt;165,Table110[[#This Row],[MW Proyectada (Barra A)]],Table110[[#This Row],[MW Proyectada (Barra A)]]*165/Table110[[#This Row],[TOTAL MW]])</f>
        <v>#N/A</v>
      </c>
      <c r="N95" s="53" t="e">
        <f>IF(Table110[[#This Row],[TOTAL MW]]&lt;165,Table110[[#This Row],[MW Proyectada (Barra B)]],Table110[[#This Row],[MW Proyectada (Barra B)]]*165/Table110[[#This Row],[TOTAL MW]])</f>
        <v>#N/A</v>
      </c>
      <c r="P95" s="90"/>
      <c r="Q95" s="90"/>
      <c r="R95" s="93"/>
      <c r="S95" s="93"/>
    </row>
    <row r="96" spans="2:19" x14ac:dyDescent="0.25">
      <c r="B96" s="91">
        <f t="shared" si="4"/>
        <v>45586.95833333311</v>
      </c>
      <c r="C96" s="52">
        <f t="shared" si="5"/>
        <v>3.9583333333333277</v>
      </c>
      <c r="D96" s="92">
        <f>Table110[[#This Row],[Fecha]]</f>
        <v>45586.95833333311</v>
      </c>
      <c r="E96" s="53" t="e">
        <f>VLOOKUP(Table110[[#This Row],[FECHA /HORA]],TBL_CalcDarwin[],7,0)</f>
        <v>#N/A</v>
      </c>
      <c r="F96" s="53" t="e">
        <f>VLOOKUP(Table110[[#This Row],[FECHA /HORA]],TBL_CalcDarwin[],42,0)</f>
        <v>#N/A</v>
      </c>
      <c r="G96" s="53" t="e">
        <f>VLOOKUP(Table110[[#This Row],[FECHA /HORA]],TBL_CalcDarwin[],43,0)</f>
        <v>#N/A</v>
      </c>
      <c r="H96" s="53" t="e">
        <f>VLOOKUP(Table110[[#This Row],[FECHA /HORA]],TBL_CalcDarwin[],40,0)</f>
        <v>#N/A</v>
      </c>
      <c r="I96" s="53" t="e">
        <f>VLOOKUP(Table110[[#This Row],[FECHA /HORA]],TBL_CalcDarwin[],41,0)</f>
        <v>#N/A</v>
      </c>
      <c r="J96" s="53" t="e">
        <f>Table110[[#This Row],[MW Proyectada (Barra A)]]+Table110[[#This Row],[MW Proyectada (Barra B)]]</f>
        <v>#N/A</v>
      </c>
      <c r="L96" s="53" t="e">
        <f t="shared" si="3"/>
        <v>#N/A</v>
      </c>
      <c r="M96" s="53" t="e">
        <f>IF(Table110[[#This Row],[TOTAL MW]]&lt;165,Table110[[#This Row],[MW Proyectada (Barra A)]],Table110[[#This Row],[MW Proyectada (Barra A)]]*165/Table110[[#This Row],[TOTAL MW]])</f>
        <v>#N/A</v>
      </c>
      <c r="N96" s="53" t="e">
        <f>IF(Table110[[#This Row],[TOTAL MW]]&lt;165,Table110[[#This Row],[MW Proyectada (Barra B)]],Table110[[#This Row],[MW Proyectada (Barra B)]]*165/Table110[[#This Row],[TOTAL MW]])</f>
        <v>#N/A</v>
      </c>
      <c r="P96" s="90"/>
      <c r="Q96" s="90"/>
      <c r="R96" s="93"/>
      <c r="S96" s="93"/>
    </row>
    <row r="97" spans="2:19" x14ac:dyDescent="0.25">
      <c r="B97" s="91">
        <f t="shared" si="4"/>
        <v>45586.999999999774</v>
      </c>
      <c r="C97" s="52">
        <f t="shared" si="5"/>
        <v>3.9999999999999942</v>
      </c>
      <c r="D97" s="92">
        <f>Table110[[#This Row],[Fecha]]</f>
        <v>45586.999999999774</v>
      </c>
      <c r="E97" s="53" t="e">
        <f>VLOOKUP(Table110[[#This Row],[FECHA /HORA]],TBL_CalcDarwin[],7,0)</f>
        <v>#N/A</v>
      </c>
      <c r="F97" s="53" t="e">
        <f>VLOOKUP(Table110[[#This Row],[FECHA /HORA]],TBL_CalcDarwin[],42,0)</f>
        <v>#N/A</v>
      </c>
      <c r="G97" s="53" t="e">
        <f>VLOOKUP(Table110[[#This Row],[FECHA /HORA]],TBL_CalcDarwin[],43,0)</f>
        <v>#N/A</v>
      </c>
      <c r="H97" s="53" t="e">
        <f>VLOOKUP(Table110[[#This Row],[FECHA /HORA]],TBL_CalcDarwin[],40,0)</f>
        <v>#N/A</v>
      </c>
      <c r="I97" s="53" t="e">
        <f>VLOOKUP(Table110[[#This Row],[FECHA /HORA]],TBL_CalcDarwin[],41,0)</f>
        <v>#N/A</v>
      </c>
      <c r="J97" s="53" t="e">
        <f>Table110[[#This Row],[MW Proyectada (Barra A)]]+Table110[[#This Row],[MW Proyectada (Barra B)]]</f>
        <v>#N/A</v>
      </c>
      <c r="L97" s="53" t="e">
        <f t="shared" si="3"/>
        <v>#N/A</v>
      </c>
      <c r="M97" s="53" t="e">
        <f>IF(Table110[[#This Row],[TOTAL MW]]&lt;165,Table110[[#This Row],[MW Proyectada (Barra A)]],Table110[[#This Row],[MW Proyectada (Barra A)]]*165/Table110[[#This Row],[TOTAL MW]])</f>
        <v>#N/A</v>
      </c>
      <c r="N97" s="53" t="e">
        <f>IF(Table110[[#This Row],[TOTAL MW]]&lt;165,Table110[[#This Row],[MW Proyectada (Barra B)]],Table110[[#This Row],[MW Proyectada (Barra B)]]*165/Table110[[#This Row],[TOTAL MW]])</f>
        <v>#N/A</v>
      </c>
      <c r="P97" s="90"/>
      <c r="Q97" s="90"/>
      <c r="R97" s="93"/>
      <c r="S97" s="93"/>
    </row>
    <row r="98" spans="2:19" x14ac:dyDescent="0.25">
      <c r="B98" s="91">
        <f t="shared" si="4"/>
        <v>45587.041666666439</v>
      </c>
      <c r="C98" s="52">
        <f t="shared" si="5"/>
        <v>4.0416666666666607</v>
      </c>
      <c r="D98" s="92">
        <f>Table110[[#This Row],[Fecha]]</f>
        <v>45587.041666666439</v>
      </c>
      <c r="E98" s="53" t="e">
        <f>VLOOKUP(Table110[[#This Row],[FECHA /HORA]],TBL_CalcDarwin[],7,0)</f>
        <v>#N/A</v>
      </c>
      <c r="F98" s="53" t="e">
        <f>VLOOKUP(Table110[[#This Row],[FECHA /HORA]],TBL_CalcDarwin[],42,0)</f>
        <v>#N/A</v>
      </c>
      <c r="G98" s="53" t="e">
        <f>VLOOKUP(Table110[[#This Row],[FECHA /HORA]],TBL_CalcDarwin[],43,0)</f>
        <v>#N/A</v>
      </c>
      <c r="H98" s="53" t="e">
        <f>VLOOKUP(Table110[[#This Row],[FECHA /HORA]],TBL_CalcDarwin[],40,0)</f>
        <v>#N/A</v>
      </c>
      <c r="I98" s="53" t="e">
        <f>VLOOKUP(Table110[[#This Row],[FECHA /HORA]],TBL_CalcDarwin[],41,0)</f>
        <v>#N/A</v>
      </c>
      <c r="J98" s="53" t="e">
        <f>Table110[[#This Row],[MW Proyectada (Barra A)]]+Table110[[#This Row],[MW Proyectada (Barra B)]]</f>
        <v>#N/A</v>
      </c>
      <c r="L98" s="53" t="e">
        <f t="shared" si="3"/>
        <v>#N/A</v>
      </c>
      <c r="M98" s="53" t="e">
        <f>IF(Table110[[#This Row],[TOTAL MW]]&lt;165,Table110[[#This Row],[MW Proyectada (Barra A)]],Table110[[#This Row],[MW Proyectada (Barra A)]]*165/Table110[[#This Row],[TOTAL MW]])</f>
        <v>#N/A</v>
      </c>
      <c r="N98" s="53" t="e">
        <f>IF(Table110[[#This Row],[TOTAL MW]]&lt;165,Table110[[#This Row],[MW Proyectada (Barra B)]],Table110[[#This Row],[MW Proyectada (Barra B)]]*165/Table110[[#This Row],[TOTAL MW]])</f>
        <v>#N/A</v>
      </c>
      <c r="P98" s="90"/>
      <c r="Q98" s="90"/>
      <c r="R98" s="93"/>
      <c r="S98" s="93"/>
    </row>
    <row r="99" spans="2:19" x14ac:dyDescent="0.25">
      <c r="B99" s="91">
        <f t="shared" si="4"/>
        <v>45587.083333333103</v>
      </c>
      <c r="C99" s="52">
        <f t="shared" si="5"/>
        <v>4.0833333333333277</v>
      </c>
      <c r="D99" s="92">
        <f>Table110[[#This Row],[Fecha]]</f>
        <v>45587.083333333103</v>
      </c>
      <c r="E99" s="53" t="e">
        <f>VLOOKUP(Table110[[#This Row],[FECHA /HORA]],TBL_CalcDarwin[],7,0)</f>
        <v>#N/A</v>
      </c>
      <c r="F99" s="53" t="e">
        <f>VLOOKUP(Table110[[#This Row],[FECHA /HORA]],TBL_CalcDarwin[],42,0)</f>
        <v>#N/A</v>
      </c>
      <c r="G99" s="53" t="e">
        <f>VLOOKUP(Table110[[#This Row],[FECHA /HORA]],TBL_CalcDarwin[],43,0)</f>
        <v>#N/A</v>
      </c>
      <c r="H99" s="53" t="e">
        <f>VLOOKUP(Table110[[#This Row],[FECHA /HORA]],TBL_CalcDarwin[],40,0)</f>
        <v>#N/A</v>
      </c>
      <c r="I99" s="53" t="e">
        <f>VLOOKUP(Table110[[#This Row],[FECHA /HORA]],TBL_CalcDarwin[],41,0)</f>
        <v>#N/A</v>
      </c>
      <c r="J99" s="53" t="e">
        <f>Table110[[#This Row],[MW Proyectada (Barra A)]]+Table110[[#This Row],[MW Proyectada (Barra B)]]</f>
        <v>#N/A</v>
      </c>
      <c r="L99" s="53" t="e">
        <f t="shared" si="3"/>
        <v>#N/A</v>
      </c>
      <c r="M99" s="53" t="e">
        <f>IF(Table110[[#This Row],[TOTAL MW]]&lt;165,Table110[[#This Row],[MW Proyectada (Barra A)]],Table110[[#This Row],[MW Proyectada (Barra A)]]*165/Table110[[#This Row],[TOTAL MW]])</f>
        <v>#N/A</v>
      </c>
      <c r="N99" s="53" t="e">
        <f>IF(Table110[[#This Row],[TOTAL MW]]&lt;165,Table110[[#This Row],[MW Proyectada (Barra B)]],Table110[[#This Row],[MW Proyectada (Barra B)]]*165/Table110[[#This Row],[TOTAL MW]])</f>
        <v>#N/A</v>
      </c>
      <c r="P99" s="90"/>
      <c r="Q99" s="90"/>
      <c r="R99" s="93"/>
      <c r="S99" s="93"/>
    </row>
    <row r="100" spans="2:19" x14ac:dyDescent="0.25">
      <c r="B100" s="91">
        <f t="shared" si="4"/>
        <v>45587.124999999767</v>
      </c>
      <c r="C100" s="52">
        <f t="shared" si="5"/>
        <v>4.1249999999999947</v>
      </c>
      <c r="D100" s="92">
        <f>Table110[[#This Row],[Fecha]]</f>
        <v>45587.124999999767</v>
      </c>
      <c r="E100" s="53" t="e">
        <f>VLOOKUP(Table110[[#This Row],[FECHA /HORA]],TBL_CalcDarwin[],7,0)</f>
        <v>#N/A</v>
      </c>
      <c r="F100" s="53" t="e">
        <f>VLOOKUP(Table110[[#This Row],[FECHA /HORA]],TBL_CalcDarwin[],42,0)</f>
        <v>#N/A</v>
      </c>
      <c r="G100" s="53" t="e">
        <f>VLOOKUP(Table110[[#This Row],[FECHA /HORA]],TBL_CalcDarwin[],43,0)</f>
        <v>#N/A</v>
      </c>
      <c r="H100" s="53" t="e">
        <f>VLOOKUP(Table110[[#This Row],[FECHA /HORA]],TBL_CalcDarwin[],40,0)</f>
        <v>#N/A</v>
      </c>
      <c r="I100" s="53" t="e">
        <f>VLOOKUP(Table110[[#This Row],[FECHA /HORA]],TBL_CalcDarwin[],41,0)</f>
        <v>#N/A</v>
      </c>
      <c r="J100" s="53" t="e">
        <f>Table110[[#This Row],[MW Proyectada (Barra A)]]+Table110[[#This Row],[MW Proyectada (Barra B)]]</f>
        <v>#N/A</v>
      </c>
      <c r="L100" s="53" t="e">
        <f t="shared" si="3"/>
        <v>#N/A</v>
      </c>
      <c r="M100" s="53" t="e">
        <f>IF(Table110[[#This Row],[TOTAL MW]]&lt;165,Table110[[#This Row],[MW Proyectada (Barra A)]],Table110[[#This Row],[MW Proyectada (Barra A)]]*165/Table110[[#This Row],[TOTAL MW]])</f>
        <v>#N/A</v>
      </c>
      <c r="N100" s="53" t="e">
        <f>IF(Table110[[#This Row],[TOTAL MW]]&lt;165,Table110[[#This Row],[MW Proyectada (Barra B)]],Table110[[#This Row],[MW Proyectada (Barra B)]]*165/Table110[[#This Row],[TOTAL MW]])</f>
        <v>#N/A</v>
      </c>
      <c r="P100" s="90"/>
      <c r="Q100" s="90"/>
      <c r="R100" s="93"/>
      <c r="S100" s="93"/>
    </row>
    <row r="101" spans="2:19" x14ac:dyDescent="0.25">
      <c r="B101" s="91">
        <f t="shared" si="4"/>
        <v>45587.166666666431</v>
      </c>
      <c r="C101" s="52">
        <f t="shared" si="5"/>
        <v>4.1666666666666616</v>
      </c>
      <c r="D101" s="92">
        <f>Table110[[#This Row],[Fecha]]</f>
        <v>45587.166666666431</v>
      </c>
      <c r="E101" s="53" t="e">
        <f>VLOOKUP(Table110[[#This Row],[FECHA /HORA]],TBL_CalcDarwin[],7,0)</f>
        <v>#N/A</v>
      </c>
      <c r="F101" s="53" t="e">
        <f>VLOOKUP(Table110[[#This Row],[FECHA /HORA]],TBL_CalcDarwin[],42,0)</f>
        <v>#N/A</v>
      </c>
      <c r="G101" s="53" t="e">
        <f>VLOOKUP(Table110[[#This Row],[FECHA /HORA]],TBL_CalcDarwin[],43,0)</f>
        <v>#N/A</v>
      </c>
      <c r="H101" s="53" t="e">
        <f>VLOOKUP(Table110[[#This Row],[FECHA /HORA]],TBL_CalcDarwin[],40,0)</f>
        <v>#N/A</v>
      </c>
      <c r="I101" s="53" t="e">
        <f>VLOOKUP(Table110[[#This Row],[FECHA /HORA]],TBL_CalcDarwin[],41,0)</f>
        <v>#N/A</v>
      </c>
      <c r="J101" s="53" t="e">
        <f>Table110[[#This Row],[MW Proyectada (Barra A)]]+Table110[[#This Row],[MW Proyectada (Barra B)]]</f>
        <v>#N/A</v>
      </c>
      <c r="L101" s="53" t="e">
        <f t="shared" si="3"/>
        <v>#N/A</v>
      </c>
      <c r="M101" s="53" t="e">
        <f>IF(Table110[[#This Row],[TOTAL MW]]&lt;165,Table110[[#This Row],[MW Proyectada (Barra A)]],Table110[[#This Row],[MW Proyectada (Barra A)]]*165/Table110[[#This Row],[TOTAL MW]])</f>
        <v>#N/A</v>
      </c>
      <c r="N101" s="53" t="e">
        <f>IF(Table110[[#This Row],[TOTAL MW]]&lt;165,Table110[[#This Row],[MW Proyectada (Barra B)]],Table110[[#This Row],[MW Proyectada (Barra B)]]*165/Table110[[#This Row],[TOTAL MW]])</f>
        <v>#N/A</v>
      </c>
      <c r="P101" s="90"/>
      <c r="Q101" s="90"/>
      <c r="R101" s="93"/>
      <c r="S101" s="93"/>
    </row>
    <row r="102" spans="2:19" x14ac:dyDescent="0.25">
      <c r="B102" s="91">
        <f t="shared" si="4"/>
        <v>45587.208333333096</v>
      </c>
      <c r="C102" s="52">
        <f t="shared" si="5"/>
        <v>4.2083333333333286</v>
      </c>
      <c r="D102" s="92">
        <f>Table110[[#This Row],[Fecha]]</f>
        <v>45587.208333333096</v>
      </c>
      <c r="E102" s="53" t="e">
        <f>VLOOKUP(Table110[[#This Row],[FECHA /HORA]],TBL_CalcDarwin[],7,0)</f>
        <v>#N/A</v>
      </c>
      <c r="F102" s="53" t="e">
        <f>VLOOKUP(Table110[[#This Row],[FECHA /HORA]],TBL_CalcDarwin[],42,0)</f>
        <v>#N/A</v>
      </c>
      <c r="G102" s="53" t="e">
        <f>VLOOKUP(Table110[[#This Row],[FECHA /HORA]],TBL_CalcDarwin[],43,0)</f>
        <v>#N/A</v>
      </c>
      <c r="H102" s="53" t="e">
        <f>VLOOKUP(Table110[[#This Row],[FECHA /HORA]],TBL_CalcDarwin[],40,0)</f>
        <v>#N/A</v>
      </c>
      <c r="I102" s="53" t="e">
        <f>VLOOKUP(Table110[[#This Row],[FECHA /HORA]],TBL_CalcDarwin[],41,0)</f>
        <v>#N/A</v>
      </c>
      <c r="J102" s="53" t="e">
        <f>Table110[[#This Row],[MW Proyectada (Barra A)]]+Table110[[#This Row],[MW Proyectada (Barra B)]]</f>
        <v>#N/A</v>
      </c>
      <c r="L102" s="53" t="e">
        <f t="shared" si="3"/>
        <v>#N/A</v>
      </c>
      <c r="M102" s="53" t="e">
        <f>IF(Table110[[#This Row],[TOTAL MW]]&lt;165,Table110[[#This Row],[MW Proyectada (Barra A)]],Table110[[#This Row],[MW Proyectada (Barra A)]]*165/Table110[[#This Row],[TOTAL MW]])</f>
        <v>#N/A</v>
      </c>
      <c r="N102" s="53" t="e">
        <f>IF(Table110[[#This Row],[TOTAL MW]]&lt;165,Table110[[#This Row],[MW Proyectada (Barra B)]],Table110[[#This Row],[MW Proyectada (Barra B)]]*165/Table110[[#This Row],[TOTAL MW]])</f>
        <v>#N/A</v>
      </c>
      <c r="P102" s="90"/>
      <c r="Q102" s="90"/>
      <c r="R102" s="93"/>
      <c r="S102" s="93"/>
    </row>
    <row r="103" spans="2:19" x14ac:dyDescent="0.25">
      <c r="B103" s="91">
        <f t="shared" si="4"/>
        <v>45587.24999999976</v>
      </c>
      <c r="C103" s="52">
        <f t="shared" si="5"/>
        <v>4.2499999999999956</v>
      </c>
      <c r="D103" s="92">
        <f>Table110[[#This Row],[Fecha]]</f>
        <v>45587.24999999976</v>
      </c>
      <c r="E103" s="53" t="e">
        <f>VLOOKUP(Table110[[#This Row],[FECHA /HORA]],TBL_CalcDarwin[],7,0)</f>
        <v>#N/A</v>
      </c>
      <c r="F103" s="53" t="e">
        <f>VLOOKUP(Table110[[#This Row],[FECHA /HORA]],TBL_CalcDarwin[],42,0)</f>
        <v>#N/A</v>
      </c>
      <c r="G103" s="53" t="e">
        <f>VLOOKUP(Table110[[#This Row],[FECHA /HORA]],TBL_CalcDarwin[],43,0)</f>
        <v>#N/A</v>
      </c>
      <c r="H103" s="53" t="e">
        <f>VLOOKUP(Table110[[#This Row],[FECHA /HORA]],TBL_CalcDarwin[],40,0)</f>
        <v>#N/A</v>
      </c>
      <c r="I103" s="53" t="e">
        <f>VLOOKUP(Table110[[#This Row],[FECHA /HORA]],TBL_CalcDarwin[],41,0)</f>
        <v>#N/A</v>
      </c>
      <c r="J103" s="53" t="e">
        <f>Table110[[#This Row],[MW Proyectada (Barra A)]]+Table110[[#This Row],[MW Proyectada (Barra B)]]</f>
        <v>#N/A</v>
      </c>
      <c r="L103" s="53" t="e">
        <f t="shared" si="3"/>
        <v>#N/A</v>
      </c>
      <c r="M103" s="53" t="e">
        <f>IF(Table110[[#This Row],[TOTAL MW]]&lt;165,Table110[[#This Row],[MW Proyectada (Barra A)]],Table110[[#This Row],[MW Proyectada (Barra A)]]*165/Table110[[#This Row],[TOTAL MW]])</f>
        <v>#N/A</v>
      </c>
      <c r="N103" s="53" t="e">
        <f>IF(Table110[[#This Row],[TOTAL MW]]&lt;165,Table110[[#This Row],[MW Proyectada (Barra B)]],Table110[[#This Row],[MW Proyectada (Barra B)]]*165/Table110[[#This Row],[TOTAL MW]])</f>
        <v>#N/A</v>
      </c>
      <c r="P103" s="90"/>
      <c r="Q103" s="90"/>
      <c r="R103" s="93"/>
      <c r="S103" s="93"/>
    </row>
    <row r="104" spans="2:19" x14ac:dyDescent="0.25">
      <c r="B104" s="91">
        <f t="shared" si="4"/>
        <v>45587.291666666424</v>
      </c>
      <c r="C104" s="52">
        <f t="shared" si="5"/>
        <v>4.2916666666666625</v>
      </c>
      <c r="D104" s="92">
        <f>Table110[[#This Row],[Fecha]]</f>
        <v>45587.291666666424</v>
      </c>
      <c r="E104" s="53" t="e">
        <f>VLOOKUP(Table110[[#This Row],[FECHA /HORA]],TBL_CalcDarwin[],7,0)</f>
        <v>#N/A</v>
      </c>
      <c r="F104" s="53" t="e">
        <f>VLOOKUP(Table110[[#This Row],[FECHA /HORA]],TBL_CalcDarwin[],42,0)</f>
        <v>#N/A</v>
      </c>
      <c r="G104" s="53" t="e">
        <f>VLOOKUP(Table110[[#This Row],[FECHA /HORA]],TBL_CalcDarwin[],43,0)</f>
        <v>#N/A</v>
      </c>
      <c r="H104" s="53" t="e">
        <f>VLOOKUP(Table110[[#This Row],[FECHA /HORA]],TBL_CalcDarwin[],40,0)</f>
        <v>#N/A</v>
      </c>
      <c r="I104" s="53" t="e">
        <f>VLOOKUP(Table110[[#This Row],[FECHA /HORA]],TBL_CalcDarwin[],41,0)</f>
        <v>#N/A</v>
      </c>
      <c r="J104" s="53" t="e">
        <f>Table110[[#This Row],[MW Proyectada (Barra A)]]+Table110[[#This Row],[MW Proyectada (Barra B)]]</f>
        <v>#N/A</v>
      </c>
      <c r="L104" s="53" t="e">
        <f t="shared" si="3"/>
        <v>#N/A</v>
      </c>
      <c r="M104" s="53" t="e">
        <f>IF(Table110[[#This Row],[TOTAL MW]]&lt;165,Table110[[#This Row],[MW Proyectada (Barra A)]],Table110[[#This Row],[MW Proyectada (Barra A)]]*165/Table110[[#This Row],[TOTAL MW]])</f>
        <v>#N/A</v>
      </c>
      <c r="N104" s="53" t="e">
        <f>IF(Table110[[#This Row],[TOTAL MW]]&lt;165,Table110[[#This Row],[MW Proyectada (Barra B)]],Table110[[#This Row],[MW Proyectada (Barra B)]]*165/Table110[[#This Row],[TOTAL MW]])</f>
        <v>#N/A</v>
      </c>
      <c r="P104" s="90"/>
      <c r="Q104" s="90"/>
      <c r="R104" s="93"/>
      <c r="S104" s="93"/>
    </row>
    <row r="105" spans="2:19" x14ac:dyDescent="0.25">
      <c r="B105" s="91">
        <f t="shared" si="4"/>
        <v>45587.333333333088</v>
      </c>
      <c r="C105" s="52">
        <f t="shared" si="5"/>
        <v>4.3333333333333295</v>
      </c>
      <c r="D105" s="92">
        <f>Table110[[#This Row],[Fecha]]</f>
        <v>45587.333333333088</v>
      </c>
      <c r="E105" s="53" t="e">
        <f>VLOOKUP(Table110[[#This Row],[FECHA /HORA]],TBL_CalcDarwin[],7,0)</f>
        <v>#N/A</v>
      </c>
      <c r="F105" s="53" t="e">
        <f>VLOOKUP(Table110[[#This Row],[FECHA /HORA]],TBL_CalcDarwin[],42,0)</f>
        <v>#N/A</v>
      </c>
      <c r="G105" s="53" t="e">
        <f>VLOOKUP(Table110[[#This Row],[FECHA /HORA]],TBL_CalcDarwin[],43,0)</f>
        <v>#N/A</v>
      </c>
      <c r="H105" s="53" t="e">
        <f>VLOOKUP(Table110[[#This Row],[FECHA /HORA]],TBL_CalcDarwin[],40,0)</f>
        <v>#N/A</v>
      </c>
      <c r="I105" s="53" t="e">
        <f>VLOOKUP(Table110[[#This Row],[FECHA /HORA]],TBL_CalcDarwin[],41,0)</f>
        <v>#N/A</v>
      </c>
      <c r="J105" s="53" t="e">
        <f>Table110[[#This Row],[MW Proyectada (Barra A)]]+Table110[[#This Row],[MW Proyectada (Barra B)]]</f>
        <v>#N/A</v>
      </c>
      <c r="L105" s="53" t="e">
        <f t="shared" si="3"/>
        <v>#N/A</v>
      </c>
      <c r="M105" s="53" t="e">
        <f>IF(Table110[[#This Row],[TOTAL MW]]&lt;165,Table110[[#This Row],[MW Proyectada (Barra A)]],Table110[[#This Row],[MW Proyectada (Barra A)]]*165/Table110[[#This Row],[TOTAL MW]])</f>
        <v>#N/A</v>
      </c>
      <c r="N105" s="53" t="e">
        <f>IF(Table110[[#This Row],[TOTAL MW]]&lt;165,Table110[[#This Row],[MW Proyectada (Barra B)]],Table110[[#This Row],[MW Proyectada (Barra B)]]*165/Table110[[#This Row],[TOTAL MW]])</f>
        <v>#N/A</v>
      </c>
      <c r="P105" s="90"/>
      <c r="Q105" s="90"/>
      <c r="R105" s="93"/>
      <c r="S105" s="93"/>
    </row>
    <row r="106" spans="2:19" x14ac:dyDescent="0.25">
      <c r="B106" s="91">
        <f t="shared" si="4"/>
        <v>45587.374999999753</v>
      </c>
      <c r="C106" s="52">
        <f t="shared" si="5"/>
        <v>4.3749999999999964</v>
      </c>
      <c r="D106" s="92">
        <f>Table110[[#This Row],[Fecha]]</f>
        <v>45587.374999999753</v>
      </c>
      <c r="E106" s="53" t="e">
        <f>VLOOKUP(Table110[[#This Row],[FECHA /HORA]],TBL_CalcDarwin[],7,0)</f>
        <v>#N/A</v>
      </c>
      <c r="F106" s="53" t="e">
        <f>VLOOKUP(Table110[[#This Row],[FECHA /HORA]],TBL_CalcDarwin[],42,0)</f>
        <v>#N/A</v>
      </c>
      <c r="G106" s="53" t="e">
        <f>VLOOKUP(Table110[[#This Row],[FECHA /HORA]],TBL_CalcDarwin[],43,0)</f>
        <v>#N/A</v>
      </c>
      <c r="H106" s="53" t="e">
        <f>VLOOKUP(Table110[[#This Row],[FECHA /HORA]],TBL_CalcDarwin[],40,0)</f>
        <v>#N/A</v>
      </c>
      <c r="I106" s="53" t="e">
        <f>VLOOKUP(Table110[[#This Row],[FECHA /HORA]],TBL_CalcDarwin[],41,0)</f>
        <v>#N/A</v>
      </c>
      <c r="J106" s="53" t="e">
        <f>Table110[[#This Row],[MW Proyectada (Barra A)]]+Table110[[#This Row],[MW Proyectada (Barra B)]]</f>
        <v>#N/A</v>
      </c>
      <c r="L106" s="53" t="e">
        <f t="shared" si="3"/>
        <v>#N/A</v>
      </c>
      <c r="M106" s="53" t="e">
        <f>IF(Table110[[#This Row],[TOTAL MW]]&lt;165,Table110[[#This Row],[MW Proyectada (Barra A)]],Table110[[#This Row],[MW Proyectada (Barra A)]]*165/Table110[[#This Row],[TOTAL MW]])</f>
        <v>#N/A</v>
      </c>
      <c r="N106" s="53" t="e">
        <f>IF(Table110[[#This Row],[TOTAL MW]]&lt;165,Table110[[#This Row],[MW Proyectada (Barra B)]],Table110[[#This Row],[MW Proyectada (Barra B)]]*165/Table110[[#This Row],[TOTAL MW]])</f>
        <v>#N/A</v>
      </c>
      <c r="P106" s="90"/>
      <c r="Q106" s="90"/>
      <c r="R106" s="93"/>
      <c r="S106" s="93"/>
    </row>
    <row r="107" spans="2:19" x14ac:dyDescent="0.25">
      <c r="B107" s="91">
        <f t="shared" si="4"/>
        <v>45587.416666666417</v>
      </c>
      <c r="C107" s="52">
        <f t="shared" si="5"/>
        <v>4.4166666666666634</v>
      </c>
      <c r="D107" s="92">
        <f>Table110[[#This Row],[Fecha]]</f>
        <v>45587.416666666417</v>
      </c>
      <c r="E107" s="53" t="e">
        <f>VLOOKUP(Table110[[#This Row],[FECHA /HORA]],TBL_CalcDarwin[],7,0)</f>
        <v>#N/A</v>
      </c>
      <c r="F107" s="53" t="e">
        <f>VLOOKUP(Table110[[#This Row],[FECHA /HORA]],TBL_CalcDarwin[],42,0)</f>
        <v>#N/A</v>
      </c>
      <c r="G107" s="53" t="e">
        <f>VLOOKUP(Table110[[#This Row],[FECHA /HORA]],TBL_CalcDarwin[],43,0)</f>
        <v>#N/A</v>
      </c>
      <c r="H107" s="53" t="e">
        <f>VLOOKUP(Table110[[#This Row],[FECHA /HORA]],TBL_CalcDarwin[],40,0)</f>
        <v>#N/A</v>
      </c>
      <c r="I107" s="53" t="e">
        <f>VLOOKUP(Table110[[#This Row],[FECHA /HORA]],TBL_CalcDarwin[],41,0)</f>
        <v>#N/A</v>
      </c>
      <c r="J107" s="53" t="e">
        <f>Table110[[#This Row],[MW Proyectada (Barra A)]]+Table110[[#This Row],[MW Proyectada (Barra B)]]</f>
        <v>#N/A</v>
      </c>
      <c r="L107" s="53" t="e">
        <f t="shared" si="3"/>
        <v>#N/A</v>
      </c>
      <c r="M107" s="53" t="e">
        <f>IF(Table110[[#This Row],[TOTAL MW]]&lt;165,Table110[[#This Row],[MW Proyectada (Barra A)]],Table110[[#This Row],[MW Proyectada (Barra A)]]*165/Table110[[#This Row],[TOTAL MW]])</f>
        <v>#N/A</v>
      </c>
      <c r="N107" s="53" t="e">
        <f>IF(Table110[[#This Row],[TOTAL MW]]&lt;165,Table110[[#This Row],[MW Proyectada (Barra B)]],Table110[[#This Row],[MW Proyectada (Barra B)]]*165/Table110[[#This Row],[TOTAL MW]])</f>
        <v>#N/A</v>
      </c>
      <c r="P107" s="90"/>
      <c r="Q107" s="90"/>
      <c r="R107" s="93"/>
      <c r="S107" s="93"/>
    </row>
    <row r="108" spans="2:19" x14ac:dyDescent="0.25">
      <c r="B108" s="91">
        <f t="shared" si="4"/>
        <v>45587.458333333081</v>
      </c>
      <c r="C108" s="52">
        <f t="shared" si="5"/>
        <v>4.4583333333333304</v>
      </c>
      <c r="D108" s="92">
        <f>Table110[[#This Row],[Fecha]]</f>
        <v>45587.458333333081</v>
      </c>
      <c r="E108" s="53" t="e">
        <f>VLOOKUP(Table110[[#This Row],[FECHA /HORA]],TBL_CalcDarwin[],7,0)</f>
        <v>#N/A</v>
      </c>
      <c r="F108" s="53" t="e">
        <f>VLOOKUP(Table110[[#This Row],[FECHA /HORA]],TBL_CalcDarwin[],42,0)</f>
        <v>#N/A</v>
      </c>
      <c r="G108" s="53" t="e">
        <f>VLOOKUP(Table110[[#This Row],[FECHA /HORA]],TBL_CalcDarwin[],43,0)</f>
        <v>#N/A</v>
      </c>
      <c r="H108" s="53" t="e">
        <f>VLOOKUP(Table110[[#This Row],[FECHA /HORA]],TBL_CalcDarwin[],40,0)</f>
        <v>#N/A</v>
      </c>
      <c r="I108" s="53" t="e">
        <f>VLOOKUP(Table110[[#This Row],[FECHA /HORA]],TBL_CalcDarwin[],41,0)</f>
        <v>#N/A</v>
      </c>
      <c r="J108" s="53" t="e">
        <f>Table110[[#This Row],[MW Proyectada (Barra A)]]+Table110[[#This Row],[MW Proyectada (Barra B)]]</f>
        <v>#N/A</v>
      </c>
      <c r="L108" s="53" t="e">
        <f t="shared" si="3"/>
        <v>#N/A</v>
      </c>
      <c r="M108" s="53" t="e">
        <f>IF(Table110[[#This Row],[TOTAL MW]]&lt;165,Table110[[#This Row],[MW Proyectada (Barra A)]],Table110[[#This Row],[MW Proyectada (Barra A)]]*165/Table110[[#This Row],[TOTAL MW]])</f>
        <v>#N/A</v>
      </c>
      <c r="N108" s="53" t="e">
        <f>IF(Table110[[#This Row],[TOTAL MW]]&lt;165,Table110[[#This Row],[MW Proyectada (Barra B)]],Table110[[#This Row],[MW Proyectada (Barra B)]]*165/Table110[[#This Row],[TOTAL MW]])</f>
        <v>#N/A</v>
      </c>
      <c r="P108" s="90"/>
      <c r="Q108" s="90"/>
      <c r="R108" s="93"/>
      <c r="S108" s="93"/>
    </row>
    <row r="109" spans="2:19" x14ac:dyDescent="0.25">
      <c r="B109" s="91">
        <f t="shared" si="4"/>
        <v>45587.499999999745</v>
      </c>
      <c r="C109" s="52">
        <f t="shared" si="5"/>
        <v>4.4999999999999973</v>
      </c>
      <c r="D109" s="92">
        <f>Table110[[#This Row],[Fecha]]</f>
        <v>45587.499999999745</v>
      </c>
      <c r="E109" s="53" t="e">
        <f>VLOOKUP(Table110[[#This Row],[FECHA /HORA]],TBL_CalcDarwin[],7,0)</f>
        <v>#N/A</v>
      </c>
      <c r="F109" s="53" t="e">
        <f>VLOOKUP(Table110[[#This Row],[FECHA /HORA]],TBL_CalcDarwin[],42,0)</f>
        <v>#N/A</v>
      </c>
      <c r="G109" s="53" t="e">
        <f>VLOOKUP(Table110[[#This Row],[FECHA /HORA]],TBL_CalcDarwin[],43,0)</f>
        <v>#N/A</v>
      </c>
      <c r="H109" s="53" t="e">
        <f>VLOOKUP(Table110[[#This Row],[FECHA /HORA]],TBL_CalcDarwin[],40,0)</f>
        <v>#N/A</v>
      </c>
      <c r="I109" s="53" t="e">
        <f>VLOOKUP(Table110[[#This Row],[FECHA /HORA]],TBL_CalcDarwin[],41,0)</f>
        <v>#N/A</v>
      </c>
      <c r="J109" s="53" t="e">
        <f>Table110[[#This Row],[MW Proyectada (Barra A)]]+Table110[[#This Row],[MW Proyectada (Barra B)]]</f>
        <v>#N/A</v>
      </c>
      <c r="L109" s="53" t="e">
        <f t="shared" si="3"/>
        <v>#N/A</v>
      </c>
      <c r="M109" s="53" t="e">
        <f>IF(Table110[[#This Row],[TOTAL MW]]&lt;165,Table110[[#This Row],[MW Proyectada (Barra A)]],Table110[[#This Row],[MW Proyectada (Barra A)]]*165/Table110[[#This Row],[TOTAL MW]])</f>
        <v>#N/A</v>
      </c>
      <c r="N109" s="53" t="e">
        <f>IF(Table110[[#This Row],[TOTAL MW]]&lt;165,Table110[[#This Row],[MW Proyectada (Barra B)]],Table110[[#This Row],[MW Proyectada (Barra B)]]*165/Table110[[#This Row],[TOTAL MW]])</f>
        <v>#N/A</v>
      </c>
      <c r="P109" s="90"/>
      <c r="Q109" s="90"/>
      <c r="R109" s="93"/>
      <c r="S109" s="93"/>
    </row>
    <row r="110" spans="2:19" x14ac:dyDescent="0.25">
      <c r="B110" s="91">
        <f t="shared" si="4"/>
        <v>45587.54166666641</v>
      </c>
      <c r="C110" s="52">
        <f t="shared" si="5"/>
        <v>4.5416666666666643</v>
      </c>
      <c r="D110" s="92">
        <f>Table110[[#This Row],[Fecha]]</f>
        <v>45587.54166666641</v>
      </c>
      <c r="E110" s="53" t="e">
        <f>VLOOKUP(Table110[[#This Row],[FECHA /HORA]],TBL_CalcDarwin[],7,0)</f>
        <v>#N/A</v>
      </c>
      <c r="F110" s="53" t="e">
        <f>VLOOKUP(Table110[[#This Row],[FECHA /HORA]],TBL_CalcDarwin[],42,0)</f>
        <v>#N/A</v>
      </c>
      <c r="G110" s="53" t="e">
        <f>VLOOKUP(Table110[[#This Row],[FECHA /HORA]],TBL_CalcDarwin[],43,0)</f>
        <v>#N/A</v>
      </c>
      <c r="H110" s="53" t="e">
        <f>VLOOKUP(Table110[[#This Row],[FECHA /HORA]],TBL_CalcDarwin[],40,0)</f>
        <v>#N/A</v>
      </c>
      <c r="I110" s="53" t="e">
        <f>VLOOKUP(Table110[[#This Row],[FECHA /HORA]],TBL_CalcDarwin[],41,0)</f>
        <v>#N/A</v>
      </c>
      <c r="J110" s="53" t="e">
        <f>Table110[[#This Row],[MW Proyectada (Barra A)]]+Table110[[#This Row],[MW Proyectada (Barra B)]]</f>
        <v>#N/A</v>
      </c>
      <c r="L110" s="53" t="e">
        <f t="shared" si="3"/>
        <v>#N/A</v>
      </c>
      <c r="M110" s="53" t="e">
        <f>IF(Table110[[#This Row],[TOTAL MW]]&lt;165,Table110[[#This Row],[MW Proyectada (Barra A)]],Table110[[#This Row],[MW Proyectada (Barra A)]]*165/Table110[[#This Row],[TOTAL MW]])</f>
        <v>#N/A</v>
      </c>
      <c r="N110" s="53" t="e">
        <f>IF(Table110[[#This Row],[TOTAL MW]]&lt;165,Table110[[#This Row],[MW Proyectada (Barra B)]],Table110[[#This Row],[MW Proyectada (Barra B)]]*165/Table110[[#This Row],[TOTAL MW]])</f>
        <v>#N/A</v>
      </c>
      <c r="P110" s="90"/>
      <c r="Q110" s="90"/>
      <c r="R110" s="93"/>
      <c r="S110" s="93"/>
    </row>
    <row r="111" spans="2:19" x14ac:dyDescent="0.25">
      <c r="B111" s="91">
        <f t="shared" si="4"/>
        <v>45587.583333333074</v>
      </c>
      <c r="C111" s="52">
        <f t="shared" si="5"/>
        <v>4.5833333333333313</v>
      </c>
      <c r="D111" s="92">
        <f>Table110[[#This Row],[Fecha]]</f>
        <v>45587.583333333074</v>
      </c>
      <c r="E111" s="53" t="e">
        <f>VLOOKUP(Table110[[#This Row],[FECHA /HORA]],TBL_CalcDarwin[],7,0)</f>
        <v>#N/A</v>
      </c>
      <c r="F111" s="53" t="e">
        <f>VLOOKUP(Table110[[#This Row],[FECHA /HORA]],TBL_CalcDarwin[],42,0)</f>
        <v>#N/A</v>
      </c>
      <c r="G111" s="53" t="e">
        <f>VLOOKUP(Table110[[#This Row],[FECHA /HORA]],TBL_CalcDarwin[],43,0)</f>
        <v>#N/A</v>
      </c>
      <c r="H111" s="53" t="e">
        <f>VLOOKUP(Table110[[#This Row],[FECHA /HORA]],TBL_CalcDarwin[],40,0)</f>
        <v>#N/A</v>
      </c>
      <c r="I111" s="53" t="e">
        <f>VLOOKUP(Table110[[#This Row],[FECHA /HORA]],TBL_CalcDarwin[],41,0)</f>
        <v>#N/A</v>
      </c>
      <c r="J111" s="53" t="e">
        <f>Table110[[#This Row],[MW Proyectada (Barra A)]]+Table110[[#This Row],[MW Proyectada (Barra B)]]</f>
        <v>#N/A</v>
      </c>
      <c r="L111" s="53" t="e">
        <f t="shared" si="3"/>
        <v>#N/A</v>
      </c>
      <c r="M111" s="53" t="e">
        <f>IF(Table110[[#This Row],[TOTAL MW]]&lt;165,Table110[[#This Row],[MW Proyectada (Barra A)]],Table110[[#This Row],[MW Proyectada (Barra A)]]*165/Table110[[#This Row],[TOTAL MW]])</f>
        <v>#N/A</v>
      </c>
      <c r="N111" s="53" t="e">
        <f>IF(Table110[[#This Row],[TOTAL MW]]&lt;165,Table110[[#This Row],[MW Proyectada (Barra B)]],Table110[[#This Row],[MW Proyectada (Barra B)]]*165/Table110[[#This Row],[TOTAL MW]])</f>
        <v>#N/A</v>
      </c>
      <c r="P111" s="90"/>
      <c r="Q111" s="90"/>
      <c r="R111" s="93"/>
      <c r="S111" s="93"/>
    </row>
    <row r="112" spans="2:19" x14ac:dyDescent="0.25">
      <c r="B112" s="91">
        <f t="shared" si="4"/>
        <v>45587.624999999738</v>
      </c>
      <c r="C112" s="52">
        <f t="shared" si="5"/>
        <v>4.6249999999999982</v>
      </c>
      <c r="D112" s="92">
        <f>Table110[[#This Row],[Fecha]]</f>
        <v>45587.624999999738</v>
      </c>
      <c r="E112" s="53" t="e">
        <f>VLOOKUP(Table110[[#This Row],[FECHA /HORA]],TBL_CalcDarwin[],7,0)</f>
        <v>#N/A</v>
      </c>
      <c r="F112" s="53" t="e">
        <f>VLOOKUP(Table110[[#This Row],[FECHA /HORA]],TBL_CalcDarwin[],42,0)</f>
        <v>#N/A</v>
      </c>
      <c r="G112" s="53" t="e">
        <f>VLOOKUP(Table110[[#This Row],[FECHA /HORA]],TBL_CalcDarwin[],43,0)</f>
        <v>#N/A</v>
      </c>
      <c r="H112" s="53" t="e">
        <f>VLOOKUP(Table110[[#This Row],[FECHA /HORA]],TBL_CalcDarwin[],40,0)</f>
        <v>#N/A</v>
      </c>
      <c r="I112" s="53" t="e">
        <f>VLOOKUP(Table110[[#This Row],[FECHA /HORA]],TBL_CalcDarwin[],41,0)</f>
        <v>#N/A</v>
      </c>
      <c r="J112" s="53" t="e">
        <f>Table110[[#This Row],[MW Proyectada (Barra A)]]+Table110[[#This Row],[MW Proyectada (Barra B)]]</f>
        <v>#N/A</v>
      </c>
      <c r="L112" s="53" t="e">
        <f t="shared" si="3"/>
        <v>#N/A</v>
      </c>
      <c r="M112" s="53" t="e">
        <f>IF(Table110[[#This Row],[TOTAL MW]]&lt;165,Table110[[#This Row],[MW Proyectada (Barra A)]],Table110[[#This Row],[MW Proyectada (Barra A)]]*165/Table110[[#This Row],[TOTAL MW]])</f>
        <v>#N/A</v>
      </c>
      <c r="N112" s="53" t="e">
        <f>IF(Table110[[#This Row],[TOTAL MW]]&lt;165,Table110[[#This Row],[MW Proyectada (Barra B)]],Table110[[#This Row],[MW Proyectada (Barra B)]]*165/Table110[[#This Row],[TOTAL MW]])</f>
        <v>#N/A</v>
      </c>
      <c r="P112" s="90"/>
      <c r="Q112" s="90"/>
      <c r="R112" s="93"/>
      <c r="S112" s="93"/>
    </row>
    <row r="113" spans="2:19" x14ac:dyDescent="0.25">
      <c r="B113" s="91">
        <f t="shared" si="4"/>
        <v>45587.666666666402</v>
      </c>
      <c r="C113" s="52">
        <f t="shared" si="5"/>
        <v>4.6666666666666652</v>
      </c>
      <c r="D113" s="92">
        <f>Table110[[#This Row],[Fecha]]</f>
        <v>45587.666666666402</v>
      </c>
      <c r="E113" s="53" t="e">
        <f>VLOOKUP(Table110[[#This Row],[FECHA /HORA]],TBL_CalcDarwin[],7,0)</f>
        <v>#N/A</v>
      </c>
      <c r="F113" s="53" t="e">
        <f>VLOOKUP(Table110[[#This Row],[FECHA /HORA]],TBL_CalcDarwin[],42,0)</f>
        <v>#N/A</v>
      </c>
      <c r="G113" s="53" t="e">
        <f>VLOOKUP(Table110[[#This Row],[FECHA /HORA]],TBL_CalcDarwin[],43,0)</f>
        <v>#N/A</v>
      </c>
      <c r="H113" s="53" t="e">
        <f>VLOOKUP(Table110[[#This Row],[FECHA /HORA]],TBL_CalcDarwin[],40,0)</f>
        <v>#N/A</v>
      </c>
      <c r="I113" s="53" t="e">
        <f>VLOOKUP(Table110[[#This Row],[FECHA /HORA]],TBL_CalcDarwin[],41,0)</f>
        <v>#N/A</v>
      </c>
      <c r="J113" s="53" t="e">
        <f>Table110[[#This Row],[MW Proyectada (Barra A)]]+Table110[[#This Row],[MW Proyectada (Barra B)]]</f>
        <v>#N/A</v>
      </c>
      <c r="L113" s="53" t="e">
        <f t="shared" si="3"/>
        <v>#N/A</v>
      </c>
      <c r="M113" s="53" t="e">
        <f>IF(Table110[[#This Row],[TOTAL MW]]&lt;165,Table110[[#This Row],[MW Proyectada (Barra A)]],Table110[[#This Row],[MW Proyectada (Barra A)]]*165/Table110[[#This Row],[TOTAL MW]])</f>
        <v>#N/A</v>
      </c>
      <c r="N113" s="53" t="e">
        <f>IF(Table110[[#This Row],[TOTAL MW]]&lt;165,Table110[[#This Row],[MW Proyectada (Barra B)]],Table110[[#This Row],[MW Proyectada (Barra B)]]*165/Table110[[#This Row],[TOTAL MW]])</f>
        <v>#N/A</v>
      </c>
      <c r="P113" s="90"/>
      <c r="Q113" s="90"/>
      <c r="R113" s="93"/>
      <c r="S113" s="93"/>
    </row>
    <row r="114" spans="2:19" x14ac:dyDescent="0.25">
      <c r="B114" s="91">
        <f t="shared" si="4"/>
        <v>45587.708333333067</v>
      </c>
      <c r="C114" s="52">
        <f t="shared" si="5"/>
        <v>4.7083333333333321</v>
      </c>
      <c r="D114" s="92">
        <f>Table110[[#This Row],[Fecha]]</f>
        <v>45587.708333333067</v>
      </c>
      <c r="E114" s="53" t="e">
        <f>VLOOKUP(Table110[[#This Row],[FECHA /HORA]],TBL_CalcDarwin[],7,0)</f>
        <v>#N/A</v>
      </c>
      <c r="F114" s="53" t="e">
        <f>VLOOKUP(Table110[[#This Row],[FECHA /HORA]],TBL_CalcDarwin[],42,0)</f>
        <v>#N/A</v>
      </c>
      <c r="G114" s="53" t="e">
        <f>VLOOKUP(Table110[[#This Row],[FECHA /HORA]],TBL_CalcDarwin[],43,0)</f>
        <v>#N/A</v>
      </c>
      <c r="H114" s="53" t="e">
        <f>VLOOKUP(Table110[[#This Row],[FECHA /HORA]],TBL_CalcDarwin[],40,0)</f>
        <v>#N/A</v>
      </c>
      <c r="I114" s="53" t="e">
        <f>VLOOKUP(Table110[[#This Row],[FECHA /HORA]],TBL_CalcDarwin[],41,0)</f>
        <v>#N/A</v>
      </c>
      <c r="J114" s="53" t="e">
        <f>Table110[[#This Row],[MW Proyectada (Barra A)]]+Table110[[#This Row],[MW Proyectada (Barra B)]]</f>
        <v>#N/A</v>
      </c>
      <c r="L114" s="53" t="e">
        <f t="shared" si="3"/>
        <v>#N/A</v>
      </c>
      <c r="M114" s="53" t="e">
        <f>IF(Table110[[#This Row],[TOTAL MW]]&lt;165,Table110[[#This Row],[MW Proyectada (Barra A)]],Table110[[#This Row],[MW Proyectada (Barra A)]]*165/Table110[[#This Row],[TOTAL MW]])</f>
        <v>#N/A</v>
      </c>
      <c r="N114" s="53" t="e">
        <f>IF(Table110[[#This Row],[TOTAL MW]]&lt;165,Table110[[#This Row],[MW Proyectada (Barra B)]],Table110[[#This Row],[MW Proyectada (Barra B)]]*165/Table110[[#This Row],[TOTAL MW]])</f>
        <v>#N/A</v>
      </c>
      <c r="P114" s="90"/>
      <c r="Q114" s="90"/>
      <c r="R114" s="93"/>
      <c r="S114" s="93"/>
    </row>
    <row r="115" spans="2:19" x14ac:dyDescent="0.25">
      <c r="B115" s="91">
        <f t="shared" si="4"/>
        <v>45587.749999999731</v>
      </c>
      <c r="C115" s="52">
        <f t="shared" si="5"/>
        <v>4.7499999999999991</v>
      </c>
      <c r="D115" s="92">
        <f>Table110[[#This Row],[Fecha]]</f>
        <v>45587.749999999731</v>
      </c>
      <c r="E115" s="53" t="e">
        <f>VLOOKUP(Table110[[#This Row],[FECHA /HORA]],TBL_CalcDarwin[],7,0)</f>
        <v>#N/A</v>
      </c>
      <c r="F115" s="53" t="e">
        <f>VLOOKUP(Table110[[#This Row],[FECHA /HORA]],TBL_CalcDarwin[],42,0)</f>
        <v>#N/A</v>
      </c>
      <c r="G115" s="53" t="e">
        <f>VLOOKUP(Table110[[#This Row],[FECHA /HORA]],TBL_CalcDarwin[],43,0)</f>
        <v>#N/A</v>
      </c>
      <c r="H115" s="53" t="e">
        <f>VLOOKUP(Table110[[#This Row],[FECHA /HORA]],TBL_CalcDarwin[],40,0)</f>
        <v>#N/A</v>
      </c>
      <c r="I115" s="53" t="e">
        <f>VLOOKUP(Table110[[#This Row],[FECHA /HORA]],TBL_CalcDarwin[],41,0)</f>
        <v>#N/A</v>
      </c>
      <c r="J115" s="53" t="e">
        <f>Table110[[#This Row],[MW Proyectada (Barra A)]]+Table110[[#This Row],[MW Proyectada (Barra B)]]</f>
        <v>#N/A</v>
      </c>
      <c r="L115" s="53" t="e">
        <f t="shared" si="3"/>
        <v>#N/A</v>
      </c>
      <c r="M115" s="53" t="e">
        <f>IF(Table110[[#This Row],[TOTAL MW]]&lt;165,Table110[[#This Row],[MW Proyectada (Barra A)]],Table110[[#This Row],[MW Proyectada (Barra A)]]*165/Table110[[#This Row],[TOTAL MW]])</f>
        <v>#N/A</v>
      </c>
      <c r="N115" s="53" t="e">
        <f>IF(Table110[[#This Row],[TOTAL MW]]&lt;165,Table110[[#This Row],[MW Proyectada (Barra B)]],Table110[[#This Row],[MW Proyectada (Barra B)]]*165/Table110[[#This Row],[TOTAL MW]])</f>
        <v>#N/A</v>
      </c>
      <c r="P115" s="90"/>
      <c r="Q115" s="90"/>
      <c r="R115" s="93"/>
      <c r="S115" s="93"/>
    </row>
    <row r="116" spans="2:19" x14ac:dyDescent="0.25">
      <c r="B116" s="91">
        <f t="shared" si="4"/>
        <v>45587.791666666395</v>
      </c>
      <c r="C116" s="52">
        <f t="shared" si="5"/>
        <v>4.7916666666666661</v>
      </c>
      <c r="D116" s="92">
        <f>Table110[[#This Row],[Fecha]]</f>
        <v>45587.791666666395</v>
      </c>
      <c r="E116" s="53" t="e">
        <f>VLOOKUP(Table110[[#This Row],[FECHA /HORA]],TBL_CalcDarwin[],7,0)</f>
        <v>#N/A</v>
      </c>
      <c r="F116" s="53" t="e">
        <f>VLOOKUP(Table110[[#This Row],[FECHA /HORA]],TBL_CalcDarwin[],42,0)</f>
        <v>#N/A</v>
      </c>
      <c r="G116" s="53" t="e">
        <f>VLOOKUP(Table110[[#This Row],[FECHA /HORA]],TBL_CalcDarwin[],43,0)</f>
        <v>#N/A</v>
      </c>
      <c r="H116" s="53" t="e">
        <f>VLOOKUP(Table110[[#This Row],[FECHA /HORA]],TBL_CalcDarwin[],40,0)</f>
        <v>#N/A</v>
      </c>
      <c r="I116" s="53" t="e">
        <f>VLOOKUP(Table110[[#This Row],[FECHA /HORA]],TBL_CalcDarwin[],41,0)</f>
        <v>#N/A</v>
      </c>
      <c r="J116" s="53" t="e">
        <f>Table110[[#This Row],[MW Proyectada (Barra A)]]+Table110[[#This Row],[MW Proyectada (Barra B)]]</f>
        <v>#N/A</v>
      </c>
      <c r="L116" s="53" t="e">
        <f t="shared" si="3"/>
        <v>#N/A</v>
      </c>
      <c r="M116" s="53" t="e">
        <f>IF(Table110[[#This Row],[TOTAL MW]]&lt;165,Table110[[#This Row],[MW Proyectada (Barra A)]],Table110[[#This Row],[MW Proyectada (Barra A)]]*165/Table110[[#This Row],[TOTAL MW]])</f>
        <v>#N/A</v>
      </c>
      <c r="N116" s="53" t="e">
        <f>IF(Table110[[#This Row],[TOTAL MW]]&lt;165,Table110[[#This Row],[MW Proyectada (Barra B)]],Table110[[#This Row],[MW Proyectada (Barra B)]]*165/Table110[[#This Row],[TOTAL MW]])</f>
        <v>#N/A</v>
      </c>
      <c r="P116" s="90"/>
      <c r="Q116" s="90"/>
      <c r="R116" s="93"/>
      <c r="S116" s="93"/>
    </row>
    <row r="117" spans="2:19" x14ac:dyDescent="0.25">
      <c r="B117" s="91">
        <f t="shared" si="4"/>
        <v>45587.833333333059</v>
      </c>
      <c r="C117" s="52">
        <f t="shared" si="5"/>
        <v>4.833333333333333</v>
      </c>
      <c r="D117" s="92">
        <f>Table110[[#This Row],[Fecha]]</f>
        <v>45587.833333333059</v>
      </c>
      <c r="E117" s="53" t="e">
        <f>VLOOKUP(Table110[[#This Row],[FECHA /HORA]],TBL_CalcDarwin[],7,0)</f>
        <v>#N/A</v>
      </c>
      <c r="F117" s="53" t="e">
        <f>VLOOKUP(Table110[[#This Row],[FECHA /HORA]],TBL_CalcDarwin[],42,0)</f>
        <v>#N/A</v>
      </c>
      <c r="G117" s="53" t="e">
        <f>VLOOKUP(Table110[[#This Row],[FECHA /HORA]],TBL_CalcDarwin[],43,0)</f>
        <v>#N/A</v>
      </c>
      <c r="H117" s="53" t="e">
        <f>VLOOKUP(Table110[[#This Row],[FECHA /HORA]],TBL_CalcDarwin[],40,0)</f>
        <v>#N/A</v>
      </c>
      <c r="I117" s="53" t="e">
        <f>VLOOKUP(Table110[[#This Row],[FECHA /HORA]],TBL_CalcDarwin[],41,0)</f>
        <v>#N/A</v>
      </c>
      <c r="J117" s="53" t="e">
        <f>Table110[[#This Row],[MW Proyectada (Barra A)]]+Table110[[#This Row],[MW Proyectada (Barra B)]]</f>
        <v>#N/A</v>
      </c>
      <c r="L117" s="53" t="e">
        <f t="shared" si="3"/>
        <v>#N/A</v>
      </c>
      <c r="M117" s="53" t="e">
        <f>IF(Table110[[#This Row],[TOTAL MW]]&lt;165,Table110[[#This Row],[MW Proyectada (Barra A)]],Table110[[#This Row],[MW Proyectada (Barra A)]]*165/Table110[[#This Row],[TOTAL MW]])</f>
        <v>#N/A</v>
      </c>
      <c r="N117" s="53" t="e">
        <f>IF(Table110[[#This Row],[TOTAL MW]]&lt;165,Table110[[#This Row],[MW Proyectada (Barra B)]],Table110[[#This Row],[MW Proyectada (Barra B)]]*165/Table110[[#This Row],[TOTAL MW]])</f>
        <v>#N/A</v>
      </c>
      <c r="P117" s="90"/>
      <c r="Q117" s="90"/>
      <c r="R117" s="93"/>
      <c r="S117" s="93"/>
    </row>
    <row r="118" spans="2:19" x14ac:dyDescent="0.25">
      <c r="B118" s="91">
        <f t="shared" si="4"/>
        <v>45587.874999999724</v>
      </c>
      <c r="C118" s="52">
        <f t="shared" si="5"/>
        <v>4.875</v>
      </c>
      <c r="D118" s="92">
        <f>Table110[[#This Row],[Fecha]]</f>
        <v>45587.874999999724</v>
      </c>
      <c r="E118" s="53" t="e">
        <f>VLOOKUP(Table110[[#This Row],[FECHA /HORA]],TBL_CalcDarwin[],7,0)</f>
        <v>#N/A</v>
      </c>
      <c r="F118" s="53" t="e">
        <f>VLOOKUP(Table110[[#This Row],[FECHA /HORA]],TBL_CalcDarwin[],42,0)</f>
        <v>#N/A</v>
      </c>
      <c r="G118" s="53" t="e">
        <f>VLOOKUP(Table110[[#This Row],[FECHA /HORA]],TBL_CalcDarwin[],43,0)</f>
        <v>#N/A</v>
      </c>
      <c r="H118" s="53" t="e">
        <f>VLOOKUP(Table110[[#This Row],[FECHA /HORA]],TBL_CalcDarwin[],40,0)</f>
        <v>#N/A</v>
      </c>
      <c r="I118" s="53" t="e">
        <f>VLOOKUP(Table110[[#This Row],[FECHA /HORA]],TBL_CalcDarwin[],41,0)</f>
        <v>#N/A</v>
      </c>
      <c r="J118" s="53" t="e">
        <f>Table110[[#This Row],[MW Proyectada (Barra A)]]+Table110[[#This Row],[MW Proyectada (Barra B)]]</f>
        <v>#N/A</v>
      </c>
      <c r="L118" s="53" t="e">
        <f t="shared" si="3"/>
        <v>#N/A</v>
      </c>
      <c r="M118" s="53" t="e">
        <f>IF(Table110[[#This Row],[TOTAL MW]]&lt;165,Table110[[#This Row],[MW Proyectada (Barra A)]],Table110[[#This Row],[MW Proyectada (Barra A)]]*165/Table110[[#This Row],[TOTAL MW]])</f>
        <v>#N/A</v>
      </c>
      <c r="N118" s="53" t="e">
        <f>IF(Table110[[#This Row],[TOTAL MW]]&lt;165,Table110[[#This Row],[MW Proyectada (Barra B)]],Table110[[#This Row],[MW Proyectada (Barra B)]]*165/Table110[[#This Row],[TOTAL MW]])</f>
        <v>#N/A</v>
      </c>
      <c r="P118" s="90"/>
      <c r="Q118" s="90"/>
      <c r="R118" s="93"/>
      <c r="S118" s="93"/>
    </row>
    <row r="119" spans="2:19" x14ac:dyDescent="0.25">
      <c r="B119" s="91">
        <f t="shared" si="4"/>
        <v>45587.916666666388</v>
      </c>
      <c r="C119" s="52">
        <f t="shared" si="5"/>
        <v>4.916666666666667</v>
      </c>
      <c r="D119" s="92">
        <f>Table110[[#This Row],[Fecha]]</f>
        <v>45587.916666666388</v>
      </c>
      <c r="E119" s="53" t="e">
        <f>VLOOKUP(Table110[[#This Row],[FECHA /HORA]],TBL_CalcDarwin[],7,0)</f>
        <v>#N/A</v>
      </c>
      <c r="F119" s="53" t="e">
        <f>VLOOKUP(Table110[[#This Row],[FECHA /HORA]],TBL_CalcDarwin[],42,0)</f>
        <v>#N/A</v>
      </c>
      <c r="G119" s="53" t="e">
        <f>VLOOKUP(Table110[[#This Row],[FECHA /HORA]],TBL_CalcDarwin[],43,0)</f>
        <v>#N/A</v>
      </c>
      <c r="H119" s="53" t="e">
        <f>VLOOKUP(Table110[[#This Row],[FECHA /HORA]],TBL_CalcDarwin[],40,0)</f>
        <v>#N/A</v>
      </c>
      <c r="I119" s="53" t="e">
        <f>VLOOKUP(Table110[[#This Row],[FECHA /HORA]],TBL_CalcDarwin[],41,0)</f>
        <v>#N/A</v>
      </c>
      <c r="J119" s="53" t="e">
        <f>Table110[[#This Row],[MW Proyectada (Barra A)]]+Table110[[#This Row],[MW Proyectada (Barra B)]]</f>
        <v>#N/A</v>
      </c>
      <c r="L119" s="53" t="e">
        <f t="shared" si="3"/>
        <v>#N/A</v>
      </c>
      <c r="M119" s="53" t="e">
        <f>IF(Table110[[#This Row],[TOTAL MW]]&lt;165,Table110[[#This Row],[MW Proyectada (Barra A)]],Table110[[#This Row],[MW Proyectada (Barra A)]]*165/Table110[[#This Row],[TOTAL MW]])</f>
        <v>#N/A</v>
      </c>
      <c r="N119" s="53" t="e">
        <f>IF(Table110[[#This Row],[TOTAL MW]]&lt;165,Table110[[#This Row],[MW Proyectada (Barra B)]],Table110[[#This Row],[MW Proyectada (Barra B)]]*165/Table110[[#This Row],[TOTAL MW]])</f>
        <v>#N/A</v>
      </c>
      <c r="P119" s="90"/>
      <c r="Q119" s="90"/>
      <c r="R119" s="93"/>
      <c r="S119" s="93"/>
    </row>
    <row r="120" spans="2:19" x14ac:dyDescent="0.25">
      <c r="B120" s="91">
        <f t="shared" si="4"/>
        <v>45587.958333333052</v>
      </c>
      <c r="C120" s="52">
        <f t="shared" si="5"/>
        <v>4.9583333333333339</v>
      </c>
      <c r="D120" s="92">
        <f>Table110[[#This Row],[Fecha]]</f>
        <v>45587.958333333052</v>
      </c>
      <c r="E120" s="53" t="e">
        <f>VLOOKUP(Table110[[#This Row],[FECHA /HORA]],TBL_CalcDarwin[],7,0)</f>
        <v>#N/A</v>
      </c>
      <c r="F120" s="53" t="e">
        <f>VLOOKUP(Table110[[#This Row],[FECHA /HORA]],TBL_CalcDarwin[],42,0)</f>
        <v>#N/A</v>
      </c>
      <c r="G120" s="53" t="e">
        <f>VLOOKUP(Table110[[#This Row],[FECHA /HORA]],TBL_CalcDarwin[],43,0)</f>
        <v>#N/A</v>
      </c>
      <c r="H120" s="53" t="e">
        <f>VLOOKUP(Table110[[#This Row],[FECHA /HORA]],TBL_CalcDarwin[],40,0)</f>
        <v>#N/A</v>
      </c>
      <c r="I120" s="53" t="e">
        <f>VLOOKUP(Table110[[#This Row],[FECHA /HORA]],TBL_CalcDarwin[],41,0)</f>
        <v>#N/A</v>
      </c>
      <c r="J120" s="53" t="e">
        <f>Table110[[#This Row],[MW Proyectada (Barra A)]]+Table110[[#This Row],[MW Proyectada (Barra B)]]</f>
        <v>#N/A</v>
      </c>
      <c r="L120" s="53" t="e">
        <f t="shared" si="3"/>
        <v>#N/A</v>
      </c>
      <c r="M120" s="53" t="e">
        <f>IF(Table110[[#This Row],[TOTAL MW]]&lt;165,Table110[[#This Row],[MW Proyectada (Barra A)]],Table110[[#This Row],[MW Proyectada (Barra A)]]*165/Table110[[#This Row],[TOTAL MW]])</f>
        <v>#N/A</v>
      </c>
      <c r="N120" s="53" t="e">
        <f>IF(Table110[[#This Row],[TOTAL MW]]&lt;165,Table110[[#This Row],[MW Proyectada (Barra B)]],Table110[[#This Row],[MW Proyectada (Barra B)]]*165/Table110[[#This Row],[TOTAL MW]])</f>
        <v>#N/A</v>
      </c>
      <c r="P120" s="90"/>
      <c r="Q120" s="90"/>
      <c r="R120" s="93"/>
      <c r="S120" s="93"/>
    </row>
    <row r="121" spans="2:19" x14ac:dyDescent="0.25">
      <c r="B121" s="91">
        <f t="shared" si="4"/>
        <v>45587.999999999716</v>
      </c>
      <c r="C121" s="52">
        <f t="shared" si="5"/>
        <v>5.0000000000000009</v>
      </c>
      <c r="D121" s="92">
        <f>Table110[[#This Row],[Fecha]]</f>
        <v>45587.999999999716</v>
      </c>
      <c r="E121" s="53" t="e">
        <f>VLOOKUP(Table110[[#This Row],[FECHA /HORA]],TBL_CalcDarwin[],7,0)</f>
        <v>#N/A</v>
      </c>
      <c r="F121" s="53" t="e">
        <f>VLOOKUP(Table110[[#This Row],[FECHA /HORA]],TBL_CalcDarwin[],42,0)</f>
        <v>#N/A</v>
      </c>
      <c r="G121" s="53" t="e">
        <f>VLOOKUP(Table110[[#This Row],[FECHA /HORA]],TBL_CalcDarwin[],43,0)</f>
        <v>#N/A</v>
      </c>
      <c r="H121" s="53" t="e">
        <f>VLOOKUP(Table110[[#This Row],[FECHA /HORA]],TBL_CalcDarwin[],40,0)</f>
        <v>#N/A</v>
      </c>
      <c r="I121" s="53" t="e">
        <f>VLOOKUP(Table110[[#This Row],[FECHA /HORA]],TBL_CalcDarwin[],41,0)</f>
        <v>#N/A</v>
      </c>
      <c r="J121" s="53" t="e">
        <f>Table110[[#This Row],[MW Proyectada (Barra A)]]+Table110[[#This Row],[MW Proyectada (Barra B)]]</f>
        <v>#N/A</v>
      </c>
      <c r="L121" s="53" t="e">
        <f t="shared" si="3"/>
        <v>#N/A</v>
      </c>
      <c r="M121" s="53" t="e">
        <f>IF(Table110[[#This Row],[TOTAL MW]]&lt;165,Table110[[#This Row],[MW Proyectada (Barra A)]],Table110[[#This Row],[MW Proyectada (Barra A)]]*165/Table110[[#This Row],[TOTAL MW]])</f>
        <v>#N/A</v>
      </c>
      <c r="N121" s="53" t="e">
        <f>IF(Table110[[#This Row],[TOTAL MW]]&lt;165,Table110[[#This Row],[MW Proyectada (Barra B)]],Table110[[#This Row],[MW Proyectada (Barra B)]]*165/Table110[[#This Row],[TOTAL MW]])</f>
        <v>#N/A</v>
      </c>
      <c r="P121" s="90"/>
      <c r="Q121" s="90"/>
      <c r="R121" s="93"/>
      <c r="S121" s="93"/>
    </row>
    <row r="122" spans="2:19" x14ac:dyDescent="0.25">
      <c r="B122" s="91">
        <f t="shared" si="4"/>
        <v>45588.04166666638</v>
      </c>
      <c r="C122" s="52">
        <f t="shared" si="5"/>
        <v>5.0416666666666679</v>
      </c>
      <c r="D122" s="92">
        <f>Table110[[#This Row],[Fecha]]</f>
        <v>45588.04166666638</v>
      </c>
      <c r="E122" s="53" t="e">
        <f>VLOOKUP(Table110[[#This Row],[FECHA /HORA]],TBL_CalcDarwin[],7,0)</f>
        <v>#N/A</v>
      </c>
      <c r="F122" s="53" t="e">
        <f>VLOOKUP(Table110[[#This Row],[FECHA /HORA]],TBL_CalcDarwin[],42,0)</f>
        <v>#N/A</v>
      </c>
      <c r="G122" s="53" t="e">
        <f>VLOOKUP(Table110[[#This Row],[FECHA /HORA]],TBL_CalcDarwin[],43,0)</f>
        <v>#N/A</v>
      </c>
      <c r="H122" s="53" t="e">
        <f>VLOOKUP(Table110[[#This Row],[FECHA /HORA]],TBL_CalcDarwin[],40,0)</f>
        <v>#N/A</v>
      </c>
      <c r="I122" s="53" t="e">
        <f>VLOOKUP(Table110[[#This Row],[FECHA /HORA]],TBL_CalcDarwin[],41,0)</f>
        <v>#N/A</v>
      </c>
      <c r="J122" s="53" t="e">
        <f>Table110[[#This Row],[MW Proyectada (Barra A)]]+Table110[[#This Row],[MW Proyectada (Barra B)]]</f>
        <v>#N/A</v>
      </c>
      <c r="L122" s="53" t="e">
        <f t="shared" si="3"/>
        <v>#N/A</v>
      </c>
      <c r="M122" s="53" t="e">
        <f>IF(Table110[[#This Row],[TOTAL MW]]&lt;165,Table110[[#This Row],[MW Proyectada (Barra A)]],Table110[[#This Row],[MW Proyectada (Barra A)]]*165/Table110[[#This Row],[TOTAL MW]])</f>
        <v>#N/A</v>
      </c>
      <c r="N122" s="53" t="e">
        <f>IF(Table110[[#This Row],[TOTAL MW]]&lt;165,Table110[[#This Row],[MW Proyectada (Barra B)]],Table110[[#This Row],[MW Proyectada (Barra B)]]*165/Table110[[#This Row],[TOTAL MW]])</f>
        <v>#N/A</v>
      </c>
      <c r="P122" s="90"/>
      <c r="Q122" s="90"/>
      <c r="R122" s="93"/>
      <c r="S122" s="93"/>
    </row>
    <row r="123" spans="2:19" x14ac:dyDescent="0.25">
      <c r="B123" s="91">
        <f t="shared" si="4"/>
        <v>45588.083333333045</v>
      </c>
      <c r="C123" s="52">
        <f t="shared" si="5"/>
        <v>5.0833333333333348</v>
      </c>
      <c r="D123" s="92">
        <f>Table110[[#This Row],[Fecha]]</f>
        <v>45588.083333333045</v>
      </c>
      <c r="E123" s="53" t="e">
        <f>VLOOKUP(Table110[[#This Row],[FECHA /HORA]],TBL_CalcDarwin[],7,0)</f>
        <v>#N/A</v>
      </c>
      <c r="F123" s="53" t="e">
        <f>VLOOKUP(Table110[[#This Row],[FECHA /HORA]],TBL_CalcDarwin[],42,0)</f>
        <v>#N/A</v>
      </c>
      <c r="G123" s="53" t="e">
        <f>VLOOKUP(Table110[[#This Row],[FECHA /HORA]],TBL_CalcDarwin[],43,0)</f>
        <v>#N/A</v>
      </c>
      <c r="H123" s="53" t="e">
        <f>VLOOKUP(Table110[[#This Row],[FECHA /HORA]],TBL_CalcDarwin[],40,0)</f>
        <v>#N/A</v>
      </c>
      <c r="I123" s="53" t="e">
        <f>VLOOKUP(Table110[[#This Row],[FECHA /HORA]],TBL_CalcDarwin[],41,0)</f>
        <v>#N/A</v>
      </c>
      <c r="J123" s="53" t="e">
        <f>Table110[[#This Row],[MW Proyectada (Barra A)]]+Table110[[#This Row],[MW Proyectada (Barra B)]]</f>
        <v>#N/A</v>
      </c>
      <c r="L123" s="53" t="e">
        <f t="shared" si="3"/>
        <v>#N/A</v>
      </c>
      <c r="M123" s="53" t="e">
        <f>IF(Table110[[#This Row],[TOTAL MW]]&lt;165,Table110[[#This Row],[MW Proyectada (Barra A)]],Table110[[#This Row],[MW Proyectada (Barra A)]]*165/Table110[[#This Row],[TOTAL MW]])</f>
        <v>#N/A</v>
      </c>
      <c r="N123" s="53" t="e">
        <f>IF(Table110[[#This Row],[TOTAL MW]]&lt;165,Table110[[#This Row],[MW Proyectada (Barra B)]],Table110[[#This Row],[MW Proyectada (Barra B)]]*165/Table110[[#This Row],[TOTAL MW]])</f>
        <v>#N/A</v>
      </c>
      <c r="P123" s="90"/>
      <c r="Q123" s="90"/>
      <c r="R123" s="93"/>
      <c r="S123" s="93"/>
    </row>
    <row r="124" spans="2:19" x14ac:dyDescent="0.25">
      <c r="B124" s="91">
        <f t="shared" si="4"/>
        <v>45588.124999999709</v>
      </c>
      <c r="C124" s="52">
        <f t="shared" si="5"/>
        <v>5.1250000000000018</v>
      </c>
      <c r="D124" s="92">
        <f>Table110[[#This Row],[Fecha]]</f>
        <v>45588.124999999709</v>
      </c>
      <c r="E124" s="53" t="e">
        <f>VLOOKUP(Table110[[#This Row],[FECHA /HORA]],TBL_CalcDarwin[],7,0)</f>
        <v>#N/A</v>
      </c>
      <c r="F124" s="53" t="e">
        <f>VLOOKUP(Table110[[#This Row],[FECHA /HORA]],TBL_CalcDarwin[],42,0)</f>
        <v>#N/A</v>
      </c>
      <c r="G124" s="53" t="e">
        <f>VLOOKUP(Table110[[#This Row],[FECHA /HORA]],TBL_CalcDarwin[],43,0)</f>
        <v>#N/A</v>
      </c>
      <c r="H124" s="53" t="e">
        <f>VLOOKUP(Table110[[#This Row],[FECHA /HORA]],TBL_CalcDarwin[],40,0)</f>
        <v>#N/A</v>
      </c>
      <c r="I124" s="53" t="e">
        <f>VLOOKUP(Table110[[#This Row],[FECHA /HORA]],TBL_CalcDarwin[],41,0)</f>
        <v>#N/A</v>
      </c>
      <c r="J124" s="53" t="e">
        <f>Table110[[#This Row],[MW Proyectada (Barra A)]]+Table110[[#This Row],[MW Proyectada (Barra B)]]</f>
        <v>#N/A</v>
      </c>
      <c r="L124" s="53" t="e">
        <f t="shared" si="3"/>
        <v>#N/A</v>
      </c>
      <c r="M124" s="53" t="e">
        <f>IF(Table110[[#This Row],[TOTAL MW]]&lt;165,Table110[[#This Row],[MW Proyectada (Barra A)]],Table110[[#This Row],[MW Proyectada (Barra A)]]*165/Table110[[#This Row],[TOTAL MW]])</f>
        <v>#N/A</v>
      </c>
      <c r="N124" s="53" t="e">
        <f>IF(Table110[[#This Row],[TOTAL MW]]&lt;165,Table110[[#This Row],[MW Proyectada (Barra B)]],Table110[[#This Row],[MW Proyectada (Barra B)]]*165/Table110[[#This Row],[TOTAL MW]])</f>
        <v>#N/A</v>
      </c>
      <c r="P124" s="90"/>
      <c r="Q124" s="90"/>
      <c r="R124" s="93"/>
      <c r="S124" s="93"/>
    </row>
    <row r="125" spans="2:19" x14ac:dyDescent="0.25">
      <c r="B125" s="91">
        <f t="shared" si="4"/>
        <v>45588.166666666373</v>
      </c>
      <c r="C125" s="52">
        <f t="shared" si="5"/>
        <v>5.1666666666666687</v>
      </c>
      <c r="D125" s="92">
        <f>Table110[[#This Row],[Fecha]]</f>
        <v>45588.166666666373</v>
      </c>
      <c r="E125" s="53" t="e">
        <f>VLOOKUP(Table110[[#This Row],[FECHA /HORA]],TBL_CalcDarwin[],7,0)</f>
        <v>#N/A</v>
      </c>
      <c r="F125" s="53" t="e">
        <f>VLOOKUP(Table110[[#This Row],[FECHA /HORA]],TBL_CalcDarwin[],42,0)</f>
        <v>#N/A</v>
      </c>
      <c r="G125" s="53" t="e">
        <f>VLOOKUP(Table110[[#This Row],[FECHA /HORA]],TBL_CalcDarwin[],43,0)</f>
        <v>#N/A</v>
      </c>
      <c r="H125" s="53" t="e">
        <f>VLOOKUP(Table110[[#This Row],[FECHA /HORA]],TBL_CalcDarwin[],40,0)</f>
        <v>#N/A</v>
      </c>
      <c r="I125" s="53" t="e">
        <f>VLOOKUP(Table110[[#This Row],[FECHA /HORA]],TBL_CalcDarwin[],41,0)</f>
        <v>#N/A</v>
      </c>
      <c r="J125" s="53" t="e">
        <f>Table110[[#This Row],[MW Proyectada (Barra A)]]+Table110[[#This Row],[MW Proyectada (Barra B)]]</f>
        <v>#N/A</v>
      </c>
      <c r="L125" s="53" t="e">
        <f t="shared" si="3"/>
        <v>#N/A</v>
      </c>
      <c r="M125" s="53" t="e">
        <f>IF(Table110[[#This Row],[TOTAL MW]]&lt;165,Table110[[#This Row],[MW Proyectada (Barra A)]],Table110[[#This Row],[MW Proyectada (Barra A)]]*165/Table110[[#This Row],[TOTAL MW]])</f>
        <v>#N/A</v>
      </c>
      <c r="N125" s="53" t="e">
        <f>IF(Table110[[#This Row],[TOTAL MW]]&lt;165,Table110[[#This Row],[MW Proyectada (Barra B)]],Table110[[#This Row],[MW Proyectada (Barra B)]]*165/Table110[[#This Row],[TOTAL MW]])</f>
        <v>#N/A</v>
      </c>
      <c r="P125" s="90"/>
      <c r="Q125" s="90"/>
      <c r="R125" s="93"/>
      <c r="S125" s="93"/>
    </row>
    <row r="126" spans="2:19" x14ac:dyDescent="0.25">
      <c r="B126" s="91">
        <f t="shared" si="4"/>
        <v>45588.208333333037</v>
      </c>
      <c r="C126" s="52">
        <f t="shared" si="5"/>
        <v>5.2083333333333357</v>
      </c>
      <c r="D126" s="92">
        <f>Table110[[#This Row],[Fecha]]</f>
        <v>45588.208333333037</v>
      </c>
      <c r="E126" s="53" t="e">
        <f>VLOOKUP(Table110[[#This Row],[FECHA /HORA]],TBL_CalcDarwin[],7,0)</f>
        <v>#N/A</v>
      </c>
      <c r="F126" s="53" t="e">
        <f>VLOOKUP(Table110[[#This Row],[FECHA /HORA]],TBL_CalcDarwin[],42,0)</f>
        <v>#N/A</v>
      </c>
      <c r="G126" s="53" t="e">
        <f>VLOOKUP(Table110[[#This Row],[FECHA /HORA]],TBL_CalcDarwin[],43,0)</f>
        <v>#N/A</v>
      </c>
      <c r="H126" s="53" t="e">
        <f>VLOOKUP(Table110[[#This Row],[FECHA /HORA]],TBL_CalcDarwin[],40,0)</f>
        <v>#N/A</v>
      </c>
      <c r="I126" s="53" t="e">
        <f>VLOOKUP(Table110[[#This Row],[FECHA /HORA]],TBL_CalcDarwin[],41,0)</f>
        <v>#N/A</v>
      </c>
      <c r="J126" s="53" t="e">
        <f>Table110[[#This Row],[MW Proyectada (Barra A)]]+Table110[[#This Row],[MW Proyectada (Barra B)]]</f>
        <v>#N/A</v>
      </c>
      <c r="L126" s="53" t="e">
        <f t="shared" si="3"/>
        <v>#N/A</v>
      </c>
      <c r="M126" s="53" t="e">
        <f>IF(Table110[[#This Row],[TOTAL MW]]&lt;165,Table110[[#This Row],[MW Proyectada (Barra A)]],Table110[[#This Row],[MW Proyectada (Barra A)]]*165/Table110[[#This Row],[TOTAL MW]])</f>
        <v>#N/A</v>
      </c>
      <c r="N126" s="53" t="e">
        <f>IF(Table110[[#This Row],[TOTAL MW]]&lt;165,Table110[[#This Row],[MW Proyectada (Barra B)]],Table110[[#This Row],[MW Proyectada (Barra B)]]*165/Table110[[#This Row],[TOTAL MW]])</f>
        <v>#N/A</v>
      </c>
      <c r="P126" s="90"/>
      <c r="Q126" s="90"/>
      <c r="R126" s="93"/>
      <c r="S126" s="93"/>
    </row>
    <row r="127" spans="2:19" x14ac:dyDescent="0.25">
      <c r="B127" s="91">
        <f t="shared" si="4"/>
        <v>45588.249999999702</v>
      </c>
      <c r="C127" s="52">
        <f t="shared" si="5"/>
        <v>5.2500000000000027</v>
      </c>
      <c r="D127" s="92">
        <f>Table110[[#This Row],[Fecha]]</f>
        <v>45588.249999999702</v>
      </c>
      <c r="E127" s="53" t="e">
        <f>VLOOKUP(Table110[[#This Row],[FECHA /HORA]],TBL_CalcDarwin[],7,0)</f>
        <v>#N/A</v>
      </c>
      <c r="F127" s="53" t="e">
        <f>VLOOKUP(Table110[[#This Row],[FECHA /HORA]],TBL_CalcDarwin[],42,0)</f>
        <v>#N/A</v>
      </c>
      <c r="G127" s="53" t="e">
        <f>VLOOKUP(Table110[[#This Row],[FECHA /HORA]],TBL_CalcDarwin[],43,0)</f>
        <v>#N/A</v>
      </c>
      <c r="H127" s="53" t="e">
        <f>VLOOKUP(Table110[[#This Row],[FECHA /HORA]],TBL_CalcDarwin[],40,0)</f>
        <v>#N/A</v>
      </c>
      <c r="I127" s="53" t="e">
        <f>VLOOKUP(Table110[[#This Row],[FECHA /HORA]],TBL_CalcDarwin[],41,0)</f>
        <v>#N/A</v>
      </c>
      <c r="J127" s="53" t="e">
        <f>Table110[[#This Row],[MW Proyectada (Barra A)]]+Table110[[#This Row],[MW Proyectada (Barra B)]]</f>
        <v>#N/A</v>
      </c>
      <c r="L127" s="53" t="e">
        <f t="shared" si="3"/>
        <v>#N/A</v>
      </c>
      <c r="M127" s="53" t="e">
        <f>IF(Table110[[#This Row],[TOTAL MW]]&lt;165,Table110[[#This Row],[MW Proyectada (Barra A)]],Table110[[#This Row],[MW Proyectada (Barra A)]]*165/Table110[[#This Row],[TOTAL MW]])</f>
        <v>#N/A</v>
      </c>
      <c r="N127" s="53" t="e">
        <f>IF(Table110[[#This Row],[TOTAL MW]]&lt;165,Table110[[#This Row],[MW Proyectada (Barra B)]],Table110[[#This Row],[MW Proyectada (Barra B)]]*165/Table110[[#This Row],[TOTAL MW]])</f>
        <v>#N/A</v>
      </c>
      <c r="P127" s="90"/>
      <c r="Q127" s="90"/>
      <c r="R127" s="93"/>
      <c r="S127" s="93"/>
    </row>
    <row r="128" spans="2:19" x14ac:dyDescent="0.25">
      <c r="B128" s="91">
        <f t="shared" si="4"/>
        <v>45588.291666666366</v>
      </c>
      <c r="C128" s="52">
        <f t="shared" si="5"/>
        <v>5.2916666666666696</v>
      </c>
      <c r="D128" s="92">
        <f>Table110[[#This Row],[Fecha]]</f>
        <v>45588.291666666366</v>
      </c>
      <c r="E128" s="53" t="e">
        <f>VLOOKUP(Table110[[#This Row],[FECHA /HORA]],TBL_CalcDarwin[],7,0)</f>
        <v>#N/A</v>
      </c>
      <c r="F128" s="53" t="e">
        <f>VLOOKUP(Table110[[#This Row],[FECHA /HORA]],TBL_CalcDarwin[],42,0)</f>
        <v>#N/A</v>
      </c>
      <c r="G128" s="53" t="e">
        <f>VLOOKUP(Table110[[#This Row],[FECHA /HORA]],TBL_CalcDarwin[],43,0)</f>
        <v>#N/A</v>
      </c>
      <c r="H128" s="53" t="e">
        <f>VLOOKUP(Table110[[#This Row],[FECHA /HORA]],TBL_CalcDarwin[],40,0)</f>
        <v>#N/A</v>
      </c>
      <c r="I128" s="53" t="e">
        <f>VLOOKUP(Table110[[#This Row],[FECHA /HORA]],TBL_CalcDarwin[],41,0)</f>
        <v>#N/A</v>
      </c>
      <c r="J128" s="53" t="e">
        <f>Table110[[#This Row],[MW Proyectada (Barra A)]]+Table110[[#This Row],[MW Proyectada (Barra B)]]</f>
        <v>#N/A</v>
      </c>
      <c r="L128" s="53" t="e">
        <f t="shared" si="3"/>
        <v>#N/A</v>
      </c>
      <c r="M128" s="53" t="e">
        <f>IF(Table110[[#This Row],[TOTAL MW]]&lt;165,Table110[[#This Row],[MW Proyectada (Barra A)]],Table110[[#This Row],[MW Proyectada (Barra A)]]*165/Table110[[#This Row],[TOTAL MW]])</f>
        <v>#N/A</v>
      </c>
      <c r="N128" s="53" t="e">
        <f>IF(Table110[[#This Row],[TOTAL MW]]&lt;165,Table110[[#This Row],[MW Proyectada (Barra B)]],Table110[[#This Row],[MW Proyectada (Barra B)]]*165/Table110[[#This Row],[TOTAL MW]])</f>
        <v>#N/A</v>
      </c>
      <c r="P128" s="90"/>
      <c r="Q128" s="90"/>
      <c r="R128" s="93"/>
      <c r="S128" s="93"/>
    </row>
    <row r="129" spans="2:19" x14ac:dyDescent="0.25">
      <c r="B129" s="91">
        <f t="shared" si="4"/>
        <v>45588.33333333303</v>
      </c>
      <c r="C129" s="52">
        <f t="shared" si="5"/>
        <v>5.3333333333333366</v>
      </c>
      <c r="D129" s="92">
        <f>Table110[[#This Row],[Fecha]]</f>
        <v>45588.33333333303</v>
      </c>
      <c r="E129" s="53" t="e">
        <f>VLOOKUP(Table110[[#This Row],[FECHA /HORA]],TBL_CalcDarwin[],7,0)</f>
        <v>#N/A</v>
      </c>
      <c r="F129" s="53" t="e">
        <f>VLOOKUP(Table110[[#This Row],[FECHA /HORA]],TBL_CalcDarwin[],42,0)</f>
        <v>#N/A</v>
      </c>
      <c r="G129" s="53" t="e">
        <f>VLOOKUP(Table110[[#This Row],[FECHA /HORA]],TBL_CalcDarwin[],43,0)</f>
        <v>#N/A</v>
      </c>
      <c r="H129" s="53" t="e">
        <f>VLOOKUP(Table110[[#This Row],[FECHA /HORA]],TBL_CalcDarwin[],40,0)</f>
        <v>#N/A</v>
      </c>
      <c r="I129" s="53" t="e">
        <f>VLOOKUP(Table110[[#This Row],[FECHA /HORA]],TBL_CalcDarwin[],41,0)</f>
        <v>#N/A</v>
      </c>
      <c r="J129" s="53" t="e">
        <f>Table110[[#This Row],[MW Proyectada (Barra A)]]+Table110[[#This Row],[MW Proyectada (Barra B)]]</f>
        <v>#N/A</v>
      </c>
      <c r="L129" s="53" t="e">
        <f t="shared" si="3"/>
        <v>#N/A</v>
      </c>
      <c r="M129" s="53" t="e">
        <f>IF(Table110[[#This Row],[TOTAL MW]]&lt;165,Table110[[#This Row],[MW Proyectada (Barra A)]],Table110[[#This Row],[MW Proyectada (Barra A)]]*165/Table110[[#This Row],[TOTAL MW]])</f>
        <v>#N/A</v>
      </c>
      <c r="N129" s="53" t="e">
        <f>IF(Table110[[#This Row],[TOTAL MW]]&lt;165,Table110[[#This Row],[MW Proyectada (Barra B)]],Table110[[#This Row],[MW Proyectada (Barra B)]]*165/Table110[[#This Row],[TOTAL MW]])</f>
        <v>#N/A</v>
      </c>
      <c r="P129" s="90"/>
      <c r="Q129" s="90"/>
      <c r="R129" s="93"/>
      <c r="S129" s="93"/>
    </row>
    <row r="130" spans="2:19" x14ac:dyDescent="0.25">
      <c r="B130" s="91">
        <f t="shared" si="4"/>
        <v>45588.374999999694</v>
      </c>
      <c r="C130" s="52">
        <f t="shared" si="5"/>
        <v>5.3750000000000036</v>
      </c>
      <c r="D130" s="92">
        <f>Table110[[#This Row],[Fecha]]</f>
        <v>45588.374999999694</v>
      </c>
      <c r="E130" s="53" t="e">
        <f>VLOOKUP(Table110[[#This Row],[FECHA /HORA]],TBL_CalcDarwin[],7,0)</f>
        <v>#N/A</v>
      </c>
      <c r="F130" s="53" t="e">
        <f>VLOOKUP(Table110[[#This Row],[FECHA /HORA]],TBL_CalcDarwin[],42,0)</f>
        <v>#N/A</v>
      </c>
      <c r="G130" s="53" t="e">
        <f>VLOOKUP(Table110[[#This Row],[FECHA /HORA]],TBL_CalcDarwin[],43,0)</f>
        <v>#N/A</v>
      </c>
      <c r="H130" s="53" t="e">
        <f>VLOOKUP(Table110[[#This Row],[FECHA /HORA]],TBL_CalcDarwin[],40,0)</f>
        <v>#N/A</v>
      </c>
      <c r="I130" s="53" t="e">
        <f>VLOOKUP(Table110[[#This Row],[FECHA /HORA]],TBL_CalcDarwin[],41,0)</f>
        <v>#N/A</v>
      </c>
      <c r="J130" s="53" t="e">
        <f>Table110[[#This Row],[MW Proyectada (Barra A)]]+Table110[[#This Row],[MW Proyectada (Barra B)]]</f>
        <v>#N/A</v>
      </c>
      <c r="L130" s="53" t="e">
        <f t="shared" si="3"/>
        <v>#N/A</v>
      </c>
      <c r="M130" s="53" t="e">
        <f>IF(Table110[[#This Row],[TOTAL MW]]&lt;165,Table110[[#This Row],[MW Proyectada (Barra A)]],Table110[[#This Row],[MW Proyectada (Barra A)]]*165/Table110[[#This Row],[TOTAL MW]])</f>
        <v>#N/A</v>
      </c>
      <c r="N130" s="53" t="e">
        <f>IF(Table110[[#This Row],[TOTAL MW]]&lt;165,Table110[[#This Row],[MW Proyectada (Barra B)]],Table110[[#This Row],[MW Proyectada (Barra B)]]*165/Table110[[#This Row],[TOTAL MW]])</f>
        <v>#N/A</v>
      </c>
      <c r="P130" s="90"/>
      <c r="Q130" s="90"/>
      <c r="R130" s="93"/>
      <c r="S130" s="93"/>
    </row>
    <row r="131" spans="2:19" x14ac:dyDescent="0.25">
      <c r="B131" s="91">
        <f t="shared" si="4"/>
        <v>45588.416666666359</v>
      </c>
      <c r="C131" s="52">
        <f t="shared" si="5"/>
        <v>5.4166666666666705</v>
      </c>
      <c r="D131" s="92">
        <f>Table110[[#This Row],[Fecha]]</f>
        <v>45588.416666666359</v>
      </c>
      <c r="E131" s="53" t="e">
        <f>VLOOKUP(Table110[[#This Row],[FECHA /HORA]],TBL_CalcDarwin[],7,0)</f>
        <v>#N/A</v>
      </c>
      <c r="F131" s="53" t="e">
        <f>VLOOKUP(Table110[[#This Row],[FECHA /HORA]],TBL_CalcDarwin[],42,0)</f>
        <v>#N/A</v>
      </c>
      <c r="G131" s="53" t="e">
        <f>VLOOKUP(Table110[[#This Row],[FECHA /HORA]],TBL_CalcDarwin[],43,0)</f>
        <v>#N/A</v>
      </c>
      <c r="H131" s="53" t="e">
        <f>VLOOKUP(Table110[[#This Row],[FECHA /HORA]],TBL_CalcDarwin[],40,0)</f>
        <v>#N/A</v>
      </c>
      <c r="I131" s="53" t="e">
        <f>VLOOKUP(Table110[[#This Row],[FECHA /HORA]],TBL_CalcDarwin[],41,0)</f>
        <v>#N/A</v>
      </c>
      <c r="J131" s="53" t="e">
        <f>Table110[[#This Row],[MW Proyectada (Barra A)]]+Table110[[#This Row],[MW Proyectada (Barra B)]]</f>
        <v>#N/A</v>
      </c>
      <c r="L131" s="53" t="e">
        <f t="shared" si="3"/>
        <v>#N/A</v>
      </c>
      <c r="M131" s="53" t="e">
        <f>IF(Table110[[#This Row],[TOTAL MW]]&lt;165,Table110[[#This Row],[MW Proyectada (Barra A)]],Table110[[#This Row],[MW Proyectada (Barra A)]]*165/Table110[[#This Row],[TOTAL MW]])</f>
        <v>#N/A</v>
      </c>
      <c r="N131" s="53" t="e">
        <f>IF(Table110[[#This Row],[TOTAL MW]]&lt;165,Table110[[#This Row],[MW Proyectada (Barra B)]],Table110[[#This Row],[MW Proyectada (Barra B)]]*165/Table110[[#This Row],[TOTAL MW]])</f>
        <v>#N/A</v>
      </c>
      <c r="P131" s="90"/>
      <c r="Q131" s="90"/>
      <c r="R131" s="93"/>
      <c r="S131" s="93"/>
    </row>
    <row r="132" spans="2:19" x14ac:dyDescent="0.25">
      <c r="B132" s="91">
        <f t="shared" si="4"/>
        <v>45588.458333333023</v>
      </c>
      <c r="C132" s="52">
        <f t="shared" si="5"/>
        <v>5.4583333333333375</v>
      </c>
      <c r="D132" s="92">
        <f>Table110[[#This Row],[Fecha]]</f>
        <v>45588.458333333023</v>
      </c>
      <c r="E132" s="53" t="e">
        <f>VLOOKUP(Table110[[#This Row],[FECHA /HORA]],TBL_CalcDarwin[],7,0)</f>
        <v>#N/A</v>
      </c>
      <c r="F132" s="53" t="e">
        <f>VLOOKUP(Table110[[#This Row],[FECHA /HORA]],TBL_CalcDarwin[],42,0)</f>
        <v>#N/A</v>
      </c>
      <c r="G132" s="53" t="e">
        <f>VLOOKUP(Table110[[#This Row],[FECHA /HORA]],TBL_CalcDarwin[],43,0)</f>
        <v>#N/A</v>
      </c>
      <c r="H132" s="53" t="e">
        <f>VLOOKUP(Table110[[#This Row],[FECHA /HORA]],TBL_CalcDarwin[],40,0)</f>
        <v>#N/A</v>
      </c>
      <c r="I132" s="53" t="e">
        <f>VLOOKUP(Table110[[#This Row],[FECHA /HORA]],TBL_CalcDarwin[],41,0)</f>
        <v>#N/A</v>
      </c>
      <c r="J132" s="53" t="e">
        <f>Table110[[#This Row],[MW Proyectada (Barra A)]]+Table110[[#This Row],[MW Proyectada (Barra B)]]</f>
        <v>#N/A</v>
      </c>
      <c r="L132" s="53" t="e">
        <f t="shared" ref="L132:L195" si="6">M132+N132</f>
        <v>#N/A</v>
      </c>
      <c r="M132" s="53" t="e">
        <f>IF(Table110[[#This Row],[TOTAL MW]]&lt;165,Table110[[#This Row],[MW Proyectada (Barra A)]],Table110[[#This Row],[MW Proyectada (Barra A)]]*165/Table110[[#This Row],[TOTAL MW]])</f>
        <v>#N/A</v>
      </c>
      <c r="N132" s="53" t="e">
        <f>IF(Table110[[#This Row],[TOTAL MW]]&lt;165,Table110[[#This Row],[MW Proyectada (Barra B)]],Table110[[#This Row],[MW Proyectada (Barra B)]]*165/Table110[[#This Row],[TOTAL MW]])</f>
        <v>#N/A</v>
      </c>
      <c r="P132" s="90"/>
      <c r="Q132" s="90"/>
      <c r="R132" s="93"/>
      <c r="S132" s="93"/>
    </row>
    <row r="133" spans="2:19" x14ac:dyDescent="0.25">
      <c r="B133" s="91">
        <f t="shared" ref="B133:B196" si="7">B132+TIME(1,0,0)</f>
        <v>45588.499999999687</v>
      </c>
      <c r="C133" s="52">
        <f t="shared" ref="C133:C196" si="8">C132+TIME(1,0,0)</f>
        <v>5.5000000000000044</v>
      </c>
      <c r="D133" s="92">
        <f>Table110[[#This Row],[Fecha]]</f>
        <v>45588.499999999687</v>
      </c>
      <c r="E133" s="53" t="e">
        <f>VLOOKUP(Table110[[#This Row],[FECHA /HORA]],TBL_CalcDarwin[],7,0)</f>
        <v>#N/A</v>
      </c>
      <c r="F133" s="53" t="e">
        <f>VLOOKUP(Table110[[#This Row],[FECHA /HORA]],TBL_CalcDarwin[],42,0)</f>
        <v>#N/A</v>
      </c>
      <c r="G133" s="53" t="e">
        <f>VLOOKUP(Table110[[#This Row],[FECHA /HORA]],TBL_CalcDarwin[],43,0)</f>
        <v>#N/A</v>
      </c>
      <c r="H133" s="53" t="e">
        <f>VLOOKUP(Table110[[#This Row],[FECHA /HORA]],TBL_CalcDarwin[],40,0)</f>
        <v>#N/A</v>
      </c>
      <c r="I133" s="53" t="e">
        <f>VLOOKUP(Table110[[#This Row],[FECHA /HORA]],TBL_CalcDarwin[],41,0)</f>
        <v>#N/A</v>
      </c>
      <c r="J133" s="53" t="e">
        <f>Table110[[#This Row],[MW Proyectada (Barra A)]]+Table110[[#This Row],[MW Proyectada (Barra B)]]</f>
        <v>#N/A</v>
      </c>
      <c r="L133" s="53" t="e">
        <f t="shared" si="6"/>
        <v>#N/A</v>
      </c>
      <c r="M133" s="53" t="e">
        <f>IF(Table110[[#This Row],[TOTAL MW]]&lt;165,Table110[[#This Row],[MW Proyectada (Barra A)]],Table110[[#This Row],[MW Proyectada (Barra A)]]*165/Table110[[#This Row],[TOTAL MW]])</f>
        <v>#N/A</v>
      </c>
      <c r="N133" s="53" t="e">
        <f>IF(Table110[[#This Row],[TOTAL MW]]&lt;165,Table110[[#This Row],[MW Proyectada (Barra B)]],Table110[[#This Row],[MW Proyectada (Barra B)]]*165/Table110[[#This Row],[TOTAL MW]])</f>
        <v>#N/A</v>
      </c>
      <c r="P133" s="90"/>
      <c r="Q133" s="90"/>
      <c r="R133" s="93"/>
      <c r="S133" s="93"/>
    </row>
    <row r="134" spans="2:19" x14ac:dyDescent="0.25">
      <c r="B134" s="91">
        <f t="shared" si="7"/>
        <v>45588.541666666351</v>
      </c>
      <c r="C134" s="52">
        <f t="shared" si="8"/>
        <v>5.5416666666666714</v>
      </c>
      <c r="D134" s="92">
        <f>Table110[[#This Row],[Fecha]]</f>
        <v>45588.541666666351</v>
      </c>
      <c r="E134" s="53" t="e">
        <f>VLOOKUP(Table110[[#This Row],[FECHA /HORA]],TBL_CalcDarwin[],7,0)</f>
        <v>#N/A</v>
      </c>
      <c r="F134" s="53" t="e">
        <f>VLOOKUP(Table110[[#This Row],[FECHA /HORA]],TBL_CalcDarwin[],42,0)</f>
        <v>#N/A</v>
      </c>
      <c r="G134" s="53" t="e">
        <f>VLOOKUP(Table110[[#This Row],[FECHA /HORA]],TBL_CalcDarwin[],43,0)</f>
        <v>#N/A</v>
      </c>
      <c r="H134" s="53" t="e">
        <f>VLOOKUP(Table110[[#This Row],[FECHA /HORA]],TBL_CalcDarwin[],40,0)</f>
        <v>#N/A</v>
      </c>
      <c r="I134" s="53" t="e">
        <f>VLOOKUP(Table110[[#This Row],[FECHA /HORA]],TBL_CalcDarwin[],41,0)</f>
        <v>#N/A</v>
      </c>
      <c r="J134" s="53" t="e">
        <f>Table110[[#This Row],[MW Proyectada (Barra A)]]+Table110[[#This Row],[MW Proyectada (Barra B)]]</f>
        <v>#N/A</v>
      </c>
      <c r="L134" s="53" t="e">
        <f t="shared" si="6"/>
        <v>#N/A</v>
      </c>
      <c r="M134" s="53" t="e">
        <f>IF(Table110[[#This Row],[TOTAL MW]]&lt;165,Table110[[#This Row],[MW Proyectada (Barra A)]],Table110[[#This Row],[MW Proyectada (Barra A)]]*165/Table110[[#This Row],[TOTAL MW]])</f>
        <v>#N/A</v>
      </c>
      <c r="N134" s="53" t="e">
        <f>IF(Table110[[#This Row],[TOTAL MW]]&lt;165,Table110[[#This Row],[MW Proyectada (Barra B)]],Table110[[#This Row],[MW Proyectada (Barra B)]]*165/Table110[[#This Row],[TOTAL MW]])</f>
        <v>#N/A</v>
      </c>
      <c r="P134" s="90"/>
      <c r="Q134" s="90"/>
      <c r="R134" s="93"/>
      <c r="S134" s="93"/>
    </row>
    <row r="135" spans="2:19" x14ac:dyDescent="0.25">
      <c r="B135" s="91">
        <f t="shared" si="7"/>
        <v>45588.583333333016</v>
      </c>
      <c r="C135" s="52">
        <f t="shared" si="8"/>
        <v>5.5833333333333384</v>
      </c>
      <c r="D135" s="92">
        <f>Table110[[#This Row],[Fecha]]</f>
        <v>45588.583333333016</v>
      </c>
      <c r="E135" s="53" t="e">
        <f>VLOOKUP(Table110[[#This Row],[FECHA /HORA]],TBL_CalcDarwin[],7,0)</f>
        <v>#N/A</v>
      </c>
      <c r="F135" s="53" t="e">
        <f>VLOOKUP(Table110[[#This Row],[FECHA /HORA]],TBL_CalcDarwin[],42,0)</f>
        <v>#N/A</v>
      </c>
      <c r="G135" s="53" t="e">
        <f>VLOOKUP(Table110[[#This Row],[FECHA /HORA]],TBL_CalcDarwin[],43,0)</f>
        <v>#N/A</v>
      </c>
      <c r="H135" s="53" t="e">
        <f>VLOOKUP(Table110[[#This Row],[FECHA /HORA]],TBL_CalcDarwin[],40,0)</f>
        <v>#N/A</v>
      </c>
      <c r="I135" s="53" t="e">
        <f>VLOOKUP(Table110[[#This Row],[FECHA /HORA]],TBL_CalcDarwin[],41,0)</f>
        <v>#N/A</v>
      </c>
      <c r="J135" s="53" t="e">
        <f>Table110[[#This Row],[MW Proyectada (Barra A)]]+Table110[[#This Row],[MW Proyectada (Barra B)]]</f>
        <v>#N/A</v>
      </c>
      <c r="L135" s="53" t="e">
        <f t="shared" si="6"/>
        <v>#N/A</v>
      </c>
      <c r="M135" s="53" t="e">
        <f>IF(Table110[[#This Row],[TOTAL MW]]&lt;165,Table110[[#This Row],[MW Proyectada (Barra A)]],Table110[[#This Row],[MW Proyectada (Barra A)]]*165/Table110[[#This Row],[TOTAL MW]])</f>
        <v>#N/A</v>
      </c>
      <c r="N135" s="53" t="e">
        <f>IF(Table110[[#This Row],[TOTAL MW]]&lt;165,Table110[[#This Row],[MW Proyectada (Barra B)]],Table110[[#This Row],[MW Proyectada (Barra B)]]*165/Table110[[#This Row],[TOTAL MW]])</f>
        <v>#N/A</v>
      </c>
      <c r="P135" s="90"/>
      <c r="Q135" s="90"/>
      <c r="R135" s="93"/>
      <c r="S135" s="93"/>
    </row>
    <row r="136" spans="2:19" x14ac:dyDescent="0.25">
      <c r="B136" s="91">
        <f t="shared" si="7"/>
        <v>45588.62499999968</v>
      </c>
      <c r="C136" s="52">
        <f t="shared" si="8"/>
        <v>5.6250000000000053</v>
      </c>
      <c r="D136" s="92">
        <f>Table110[[#This Row],[Fecha]]</f>
        <v>45588.62499999968</v>
      </c>
      <c r="E136" s="53" t="e">
        <f>VLOOKUP(Table110[[#This Row],[FECHA /HORA]],TBL_CalcDarwin[],7,0)</f>
        <v>#N/A</v>
      </c>
      <c r="F136" s="53" t="e">
        <f>VLOOKUP(Table110[[#This Row],[FECHA /HORA]],TBL_CalcDarwin[],42,0)</f>
        <v>#N/A</v>
      </c>
      <c r="G136" s="53" t="e">
        <f>VLOOKUP(Table110[[#This Row],[FECHA /HORA]],TBL_CalcDarwin[],43,0)</f>
        <v>#N/A</v>
      </c>
      <c r="H136" s="53" t="e">
        <f>VLOOKUP(Table110[[#This Row],[FECHA /HORA]],TBL_CalcDarwin[],40,0)</f>
        <v>#N/A</v>
      </c>
      <c r="I136" s="53" t="e">
        <f>VLOOKUP(Table110[[#This Row],[FECHA /HORA]],TBL_CalcDarwin[],41,0)</f>
        <v>#N/A</v>
      </c>
      <c r="J136" s="53" t="e">
        <f>Table110[[#This Row],[MW Proyectada (Barra A)]]+Table110[[#This Row],[MW Proyectada (Barra B)]]</f>
        <v>#N/A</v>
      </c>
      <c r="L136" s="53" t="e">
        <f t="shared" si="6"/>
        <v>#N/A</v>
      </c>
      <c r="M136" s="53" t="e">
        <f>IF(Table110[[#This Row],[TOTAL MW]]&lt;165,Table110[[#This Row],[MW Proyectada (Barra A)]],Table110[[#This Row],[MW Proyectada (Barra A)]]*165/Table110[[#This Row],[TOTAL MW]])</f>
        <v>#N/A</v>
      </c>
      <c r="N136" s="53" t="e">
        <f>IF(Table110[[#This Row],[TOTAL MW]]&lt;165,Table110[[#This Row],[MW Proyectada (Barra B)]],Table110[[#This Row],[MW Proyectada (Barra B)]]*165/Table110[[#This Row],[TOTAL MW]])</f>
        <v>#N/A</v>
      </c>
      <c r="P136" s="90"/>
      <c r="Q136" s="90"/>
      <c r="R136" s="93"/>
      <c r="S136" s="93"/>
    </row>
    <row r="137" spans="2:19" x14ac:dyDescent="0.25">
      <c r="B137" s="91">
        <f t="shared" si="7"/>
        <v>45588.666666666344</v>
      </c>
      <c r="C137" s="52">
        <f t="shared" si="8"/>
        <v>5.6666666666666723</v>
      </c>
      <c r="D137" s="92">
        <f>Table110[[#This Row],[Fecha]]</f>
        <v>45588.666666666344</v>
      </c>
      <c r="E137" s="53" t="e">
        <f>VLOOKUP(Table110[[#This Row],[FECHA /HORA]],TBL_CalcDarwin[],7,0)</f>
        <v>#N/A</v>
      </c>
      <c r="F137" s="53" t="e">
        <f>VLOOKUP(Table110[[#This Row],[FECHA /HORA]],TBL_CalcDarwin[],42,0)</f>
        <v>#N/A</v>
      </c>
      <c r="G137" s="53" t="e">
        <f>VLOOKUP(Table110[[#This Row],[FECHA /HORA]],TBL_CalcDarwin[],43,0)</f>
        <v>#N/A</v>
      </c>
      <c r="H137" s="53" t="e">
        <f>VLOOKUP(Table110[[#This Row],[FECHA /HORA]],TBL_CalcDarwin[],40,0)</f>
        <v>#N/A</v>
      </c>
      <c r="I137" s="53" t="e">
        <f>VLOOKUP(Table110[[#This Row],[FECHA /HORA]],TBL_CalcDarwin[],41,0)</f>
        <v>#N/A</v>
      </c>
      <c r="J137" s="53" t="e">
        <f>Table110[[#This Row],[MW Proyectada (Barra A)]]+Table110[[#This Row],[MW Proyectada (Barra B)]]</f>
        <v>#N/A</v>
      </c>
      <c r="L137" s="53" t="e">
        <f t="shared" si="6"/>
        <v>#N/A</v>
      </c>
      <c r="M137" s="53" t="e">
        <f>IF(Table110[[#This Row],[TOTAL MW]]&lt;165,Table110[[#This Row],[MW Proyectada (Barra A)]],Table110[[#This Row],[MW Proyectada (Barra A)]]*165/Table110[[#This Row],[TOTAL MW]])</f>
        <v>#N/A</v>
      </c>
      <c r="N137" s="53" t="e">
        <f>IF(Table110[[#This Row],[TOTAL MW]]&lt;165,Table110[[#This Row],[MW Proyectada (Barra B)]],Table110[[#This Row],[MW Proyectada (Barra B)]]*165/Table110[[#This Row],[TOTAL MW]])</f>
        <v>#N/A</v>
      </c>
      <c r="P137" s="90"/>
      <c r="Q137" s="90"/>
      <c r="R137" s="93"/>
      <c r="S137" s="93"/>
    </row>
    <row r="138" spans="2:19" x14ac:dyDescent="0.25">
      <c r="B138" s="91">
        <f t="shared" si="7"/>
        <v>45588.708333333008</v>
      </c>
      <c r="C138" s="52">
        <f t="shared" si="8"/>
        <v>5.7083333333333393</v>
      </c>
      <c r="D138" s="92">
        <f>Table110[[#This Row],[Fecha]]</f>
        <v>45588.708333333008</v>
      </c>
      <c r="E138" s="53" t="e">
        <f>VLOOKUP(Table110[[#This Row],[FECHA /HORA]],TBL_CalcDarwin[],7,0)</f>
        <v>#N/A</v>
      </c>
      <c r="F138" s="53" t="e">
        <f>VLOOKUP(Table110[[#This Row],[FECHA /HORA]],TBL_CalcDarwin[],42,0)</f>
        <v>#N/A</v>
      </c>
      <c r="G138" s="53" t="e">
        <f>VLOOKUP(Table110[[#This Row],[FECHA /HORA]],TBL_CalcDarwin[],43,0)</f>
        <v>#N/A</v>
      </c>
      <c r="H138" s="53" t="e">
        <f>VLOOKUP(Table110[[#This Row],[FECHA /HORA]],TBL_CalcDarwin[],40,0)</f>
        <v>#N/A</v>
      </c>
      <c r="I138" s="53" t="e">
        <f>VLOOKUP(Table110[[#This Row],[FECHA /HORA]],TBL_CalcDarwin[],41,0)</f>
        <v>#N/A</v>
      </c>
      <c r="J138" s="53" t="e">
        <f>Table110[[#This Row],[MW Proyectada (Barra A)]]+Table110[[#This Row],[MW Proyectada (Barra B)]]</f>
        <v>#N/A</v>
      </c>
      <c r="L138" s="53" t="e">
        <f t="shared" si="6"/>
        <v>#N/A</v>
      </c>
      <c r="M138" s="53" t="e">
        <f>IF(Table110[[#This Row],[TOTAL MW]]&lt;165,Table110[[#This Row],[MW Proyectada (Barra A)]],Table110[[#This Row],[MW Proyectada (Barra A)]]*165/Table110[[#This Row],[TOTAL MW]])</f>
        <v>#N/A</v>
      </c>
      <c r="N138" s="53" t="e">
        <f>IF(Table110[[#This Row],[TOTAL MW]]&lt;165,Table110[[#This Row],[MW Proyectada (Barra B)]],Table110[[#This Row],[MW Proyectada (Barra B)]]*165/Table110[[#This Row],[TOTAL MW]])</f>
        <v>#N/A</v>
      </c>
      <c r="P138" s="90"/>
      <c r="Q138" s="90"/>
      <c r="R138" s="93"/>
      <c r="S138" s="93"/>
    </row>
    <row r="139" spans="2:19" x14ac:dyDescent="0.25">
      <c r="B139" s="91">
        <f t="shared" si="7"/>
        <v>45588.749999999673</v>
      </c>
      <c r="C139" s="52">
        <f t="shared" si="8"/>
        <v>5.7500000000000062</v>
      </c>
      <c r="D139" s="92">
        <f>Table110[[#This Row],[Fecha]]</f>
        <v>45588.749999999673</v>
      </c>
      <c r="E139" s="53" t="e">
        <f>VLOOKUP(Table110[[#This Row],[FECHA /HORA]],TBL_CalcDarwin[],7,0)</f>
        <v>#N/A</v>
      </c>
      <c r="F139" s="53" t="e">
        <f>VLOOKUP(Table110[[#This Row],[FECHA /HORA]],TBL_CalcDarwin[],42,0)</f>
        <v>#N/A</v>
      </c>
      <c r="G139" s="53" t="e">
        <f>VLOOKUP(Table110[[#This Row],[FECHA /HORA]],TBL_CalcDarwin[],43,0)</f>
        <v>#N/A</v>
      </c>
      <c r="H139" s="53" t="e">
        <f>VLOOKUP(Table110[[#This Row],[FECHA /HORA]],TBL_CalcDarwin[],40,0)</f>
        <v>#N/A</v>
      </c>
      <c r="I139" s="53" t="e">
        <f>VLOOKUP(Table110[[#This Row],[FECHA /HORA]],TBL_CalcDarwin[],41,0)</f>
        <v>#N/A</v>
      </c>
      <c r="J139" s="53" t="e">
        <f>Table110[[#This Row],[MW Proyectada (Barra A)]]+Table110[[#This Row],[MW Proyectada (Barra B)]]</f>
        <v>#N/A</v>
      </c>
      <c r="L139" s="53" t="e">
        <f t="shared" si="6"/>
        <v>#N/A</v>
      </c>
      <c r="M139" s="53" t="e">
        <f>IF(Table110[[#This Row],[TOTAL MW]]&lt;165,Table110[[#This Row],[MW Proyectada (Barra A)]],Table110[[#This Row],[MW Proyectada (Barra A)]]*165/Table110[[#This Row],[TOTAL MW]])</f>
        <v>#N/A</v>
      </c>
      <c r="N139" s="53" t="e">
        <f>IF(Table110[[#This Row],[TOTAL MW]]&lt;165,Table110[[#This Row],[MW Proyectada (Barra B)]],Table110[[#This Row],[MW Proyectada (Barra B)]]*165/Table110[[#This Row],[TOTAL MW]])</f>
        <v>#N/A</v>
      </c>
      <c r="P139" s="90"/>
      <c r="Q139" s="90"/>
      <c r="R139" s="93"/>
      <c r="S139" s="93"/>
    </row>
    <row r="140" spans="2:19" x14ac:dyDescent="0.25">
      <c r="B140" s="91">
        <f t="shared" si="7"/>
        <v>45588.791666666337</v>
      </c>
      <c r="C140" s="52">
        <f t="shared" si="8"/>
        <v>5.7916666666666732</v>
      </c>
      <c r="D140" s="92">
        <f>Table110[[#This Row],[Fecha]]</f>
        <v>45588.791666666337</v>
      </c>
      <c r="E140" s="53" t="e">
        <f>VLOOKUP(Table110[[#This Row],[FECHA /HORA]],TBL_CalcDarwin[],7,0)</f>
        <v>#N/A</v>
      </c>
      <c r="F140" s="53" t="e">
        <f>VLOOKUP(Table110[[#This Row],[FECHA /HORA]],TBL_CalcDarwin[],42,0)</f>
        <v>#N/A</v>
      </c>
      <c r="G140" s="53" t="e">
        <f>VLOOKUP(Table110[[#This Row],[FECHA /HORA]],TBL_CalcDarwin[],43,0)</f>
        <v>#N/A</v>
      </c>
      <c r="H140" s="53" t="e">
        <f>VLOOKUP(Table110[[#This Row],[FECHA /HORA]],TBL_CalcDarwin[],40,0)</f>
        <v>#N/A</v>
      </c>
      <c r="I140" s="53" t="e">
        <f>VLOOKUP(Table110[[#This Row],[FECHA /HORA]],TBL_CalcDarwin[],41,0)</f>
        <v>#N/A</v>
      </c>
      <c r="J140" s="53" t="e">
        <f>Table110[[#This Row],[MW Proyectada (Barra A)]]+Table110[[#This Row],[MW Proyectada (Barra B)]]</f>
        <v>#N/A</v>
      </c>
      <c r="L140" s="53" t="e">
        <f t="shared" si="6"/>
        <v>#N/A</v>
      </c>
      <c r="M140" s="53" t="e">
        <f>IF(Table110[[#This Row],[TOTAL MW]]&lt;165,Table110[[#This Row],[MW Proyectada (Barra A)]],Table110[[#This Row],[MW Proyectada (Barra A)]]*165/Table110[[#This Row],[TOTAL MW]])</f>
        <v>#N/A</v>
      </c>
      <c r="N140" s="53" t="e">
        <f>IF(Table110[[#This Row],[TOTAL MW]]&lt;165,Table110[[#This Row],[MW Proyectada (Barra B)]],Table110[[#This Row],[MW Proyectada (Barra B)]]*165/Table110[[#This Row],[TOTAL MW]])</f>
        <v>#N/A</v>
      </c>
      <c r="P140" s="90"/>
      <c r="Q140" s="90"/>
      <c r="R140" s="93"/>
      <c r="S140" s="93"/>
    </row>
    <row r="141" spans="2:19" x14ac:dyDescent="0.25">
      <c r="B141" s="91">
        <f t="shared" si="7"/>
        <v>45588.833333333001</v>
      </c>
      <c r="C141" s="52">
        <f t="shared" si="8"/>
        <v>5.8333333333333401</v>
      </c>
      <c r="D141" s="92">
        <f>Table110[[#This Row],[Fecha]]</f>
        <v>45588.833333333001</v>
      </c>
      <c r="E141" s="53" t="e">
        <f>VLOOKUP(Table110[[#This Row],[FECHA /HORA]],TBL_CalcDarwin[],7,0)</f>
        <v>#N/A</v>
      </c>
      <c r="F141" s="53" t="e">
        <f>VLOOKUP(Table110[[#This Row],[FECHA /HORA]],TBL_CalcDarwin[],42,0)</f>
        <v>#N/A</v>
      </c>
      <c r="G141" s="53" t="e">
        <f>VLOOKUP(Table110[[#This Row],[FECHA /HORA]],TBL_CalcDarwin[],43,0)</f>
        <v>#N/A</v>
      </c>
      <c r="H141" s="53" t="e">
        <f>VLOOKUP(Table110[[#This Row],[FECHA /HORA]],TBL_CalcDarwin[],40,0)</f>
        <v>#N/A</v>
      </c>
      <c r="I141" s="53" t="e">
        <f>VLOOKUP(Table110[[#This Row],[FECHA /HORA]],TBL_CalcDarwin[],41,0)</f>
        <v>#N/A</v>
      </c>
      <c r="J141" s="53" t="e">
        <f>Table110[[#This Row],[MW Proyectada (Barra A)]]+Table110[[#This Row],[MW Proyectada (Barra B)]]</f>
        <v>#N/A</v>
      </c>
      <c r="L141" s="53" t="e">
        <f t="shared" si="6"/>
        <v>#N/A</v>
      </c>
      <c r="M141" s="53" t="e">
        <f>IF(Table110[[#This Row],[TOTAL MW]]&lt;165,Table110[[#This Row],[MW Proyectada (Barra A)]],Table110[[#This Row],[MW Proyectada (Barra A)]]*165/Table110[[#This Row],[TOTAL MW]])</f>
        <v>#N/A</v>
      </c>
      <c r="N141" s="53" t="e">
        <f>IF(Table110[[#This Row],[TOTAL MW]]&lt;165,Table110[[#This Row],[MW Proyectada (Barra B)]],Table110[[#This Row],[MW Proyectada (Barra B)]]*165/Table110[[#This Row],[TOTAL MW]])</f>
        <v>#N/A</v>
      </c>
      <c r="P141" s="90"/>
      <c r="Q141" s="90"/>
      <c r="R141" s="93"/>
      <c r="S141" s="93"/>
    </row>
    <row r="142" spans="2:19" x14ac:dyDescent="0.25">
      <c r="B142" s="91">
        <f t="shared" si="7"/>
        <v>45588.874999999665</v>
      </c>
      <c r="C142" s="52">
        <f t="shared" si="8"/>
        <v>5.8750000000000071</v>
      </c>
      <c r="D142" s="92">
        <f>Table110[[#This Row],[Fecha]]</f>
        <v>45588.874999999665</v>
      </c>
      <c r="E142" s="53" t="e">
        <f>VLOOKUP(Table110[[#This Row],[FECHA /HORA]],TBL_CalcDarwin[],7,0)</f>
        <v>#N/A</v>
      </c>
      <c r="F142" s="53" t="e">
        <f>VLOOKUP(Table110[[#This Row],[FECHA /HORA]],TBL_CalcDarwin[],42,0)</f>
        <v>#N/A</v>
      </c>
      <c r="G142" s="53" t="e">
        <f>VLOOKUP(Table110[[#This Row],[FECHA /HORA]],TBL_CalcDarwin[],43,0)</f>
        <v>#N/A</v>
      </c>
      <c r="H142" s="53" t="e">
        <f>VLOOKUP(Table110[[#This Row],[FECHA /HORA]],TBL_CalcDarwin[],40,0)</f>
        <v>#N/A</v>
      </c>
      <c r="I142" s="53" t="e">
        <f>VLOOKUP(Table110[[#This Row],[FECHA /HORA]],TBL_CalcDarwin[],41,0)</f>
        <v>#N/A</v>
      </c>
      <c r="J142" s="53" t="e">
        <f>Table110[[#This Row],[MW Proyectada (Barra A)]]+Table110[[#This Row],[MW Proyectada (Barra B)]]</f>
        <v>#N/A</v>
      </c>
      <c r="L142" s="53" t="e">
        <f t="shared" si="6"/>
        <v>#N/A</v>
      </c>
      <c r="M142" s="53" t="e">
        <f>IF(Table110[[#This Row],[TOTAL MW]]&lt;165,Table110[[#This Row],[MW Proyectada (Barra A)]],Table110[[#This Row],[MW Proyectada (Barra A)]]*165/Table110[[#This Row],[TOTAL MW]])</f>
        <v>#N/A</v>
      </c>
      <c r="N142" s="53" t="e">
        <f>IF(Table110[[#This Row],[TOTAL MW]]&lt;165,Table110[[#This Row],[MW Proyectada (Barra B)]],Table110[[#This Row],[MW Proyectada (Barra B)]]*165/Table110[[#This Row],[TOTAL MW]])</f>
        <v>#N/A</v>
      </c>
      <c r="P142" s="90"/>
      <c r="Q142" s="90"/>
      <c r="R142" s="93"/>
      <c r="S142" s="93"/>
    </row>
    <row r="143" spans="2:19" x14ac:dyDescent="0.25">
      <c r="B143" s="91">
        <f t="shared" si="7"/>
        <v>45588.91666666633</v>
      </c>
      <c r="C143" s="52">
        <f t="shared" si="8"/>
        <v>5.9166666666666741</v>
      </c>
      <c r="D143" s="92">
        <f>Table110[[#This Row],[Fecha]]</f>
        <v>45588.91666666633</v>
      </c>
      <c r="E143" s="53" t="e">
        <f>VLOOKUP(Table110[[#This Row],[FECHA /HORA]],TBL_CalcDarwin[],7,0)</f>
        <v>#N/A</v>
      </c>
      <c r="F143" s="53" t="e">
        <f>VLOOKUP(Table110[[#This Row],[FECHA /HORA]],TBL_CalcDarwin[],42,0)</f>
        <v>#N/A</v>
      </c>
      <c r="G143" s="53" t="e">
        <f>VLOOKUP(Table110[[#This Row],[FECHA /HORA]],TBL_CalcDarwin[],43,0)</f>
        <v>#N/A</v>
      </c>
      <c r="H143" s="53" t="e">
        <f>VLOOKUP(Table110[[#This Row],[FECHA /HORA]],TBL_CalcDarwin[],40,0)</f>
        <v>#N/A</v>
      </c>
      <c r="I143" s="53" t="e">
        <f>VLOOKUP(Table110[[#This Row],[FECHA /HORA]],TBL_CalcDarwin[],41,0)</f>
        <v>#N/A</v>
      </c>
      <c r="J143" s="53" t="e">
        <f>Table110[[#This Row],[MW Proyectada (Barra A)]]+Table110[[#This Row],[MW Proyectada (Barra B)]]</f>
        <v>#N/A</v>
      </c>
      <c r="L143" s="53" t="e">
        <f t="shared" si="6"/>
        <v>#N/A</v>
      </c>
      <c r="M143" s="53" t="e">
        <f>IF(Table110[[#This Row],[TOTAL MW]]&lt;165,Table110[[#This Row],[MW Proyectada (Barra A)]],Table110[[#This Row],[MW Proyectada (Barra A)]]*165/Table110[[#This Row],[TOTAL MW]])</f>
        <v>#N/A</v>
      </c>
      <c r="N143" s="53" t="e">
        <f>IF(Table110[[#This Row],[TOTAL MW]]&lt;165,Table110[[#This Row],[MW Proyectada (Barra B)]],Table110[[#This Row],[MW Proyectada (Barra B)]]*165/Table110[[#This Row],[TOTAL MW]])</f>
        <v>#N/A</v>
      </c>
      <c r="P143" s="90"/>
      <c r="Q143" s="90"/>
      <c r="R143" s="93"/>
      <c r="S143" s="93"/>
    </row>
    <row r="144" spans="2:19" x14ac:dyDescent="0.25">
      <c r="B144" s="91">
        <f t="shared" si="7"/>
        <v>45588.958333332994</v>
      </c>
      <c r="C144" s="52">
        <f t="shared" si="8"/>
        <v>5.958333333333341</v>
      </c>
      <c r="D144" s="92">
        <f>Table110[[#This Row],[Fecha]]</f>
        <v>45588.958333332994</v>
      </c>
      <c r="E144" s="53" t="e">
        <f>VLOOKUP(Table110[[#This Row],[FECHA /HORA]],TBL_CalcDarwin[],7,0)</f>
        <v>#N/A</v>
      </c>
      <c r="F144" s="53" t="e">
        <f>VLOOKUP(Table110[[#This Row],[FECHA /HORA]],TBL_CalcDarwin[],42,0)</f>
        <v>#N/A</v>
      </c>
      <c r="G144" s="53" t="e">
        <f>VLOOKUP(Table110[[#This Row],[FECHA /HORA]],TBL_CalcDarwin[],43,0)</f>
        <v>#N/A</v>
      </c>
      <c r="H144" s="53" t="e">
        <f>VLOOKUP(Table110[[#This Row],[FECHA /HORA]],TBL_CalcDarwin[],40,0)</f>
        <v>#N/A</v>
      </c>
      <c r="I144" s="53" t="e">
        <f>VLOOKUP(Table110[[#This Row],[FECHA /HORA]],TBL_CalcDarwin[],41,0)</f>
        <v>#N/A</v>
      </c>
      <c r="J144" s="53" t="e">
        <f>Table110[[#This Row],[MW Proyectada (Barra A)]]+Table110[[#This Row],[MW Proyectada (Barra B)]]</f>
        <v>#N/A</v>
      </c>
      <c r="L144" s="53" t="e">
        <f t="shared" si="6"/>
        <v>#N/A</v>
      </c>
      <c r="M144" s="53" t="e">
        <f>IF(Table110[[#This Row],[TOTAL MW]]&lt;165,Table110[[#This Row],[MW Proyectada (Barra A)]],Table110[[#This Row],[MW Proyectada (Barra A)]]*165/Table110[[#This Row],[TOTAL MW]])</f>
        <v>#N/A</v>
      </c>
      <c r="N144" s="53" t="e">
        <f>IF(Table110[[#This Row],[TOTAL MW]]&lt;165,Table110[[#This Row],[MW Proyectada (Barra B)]],Table110[[#This Row],[MW Proyectada (Barra B)]]*165/Table110[[#This Row],[TOTAL MW]])</f>
        <v>#N/A</v>
      </c>
      <c r="P144" s="90"/>
      <c r="Q144" s="90"/>
      <c r="R144" s="93"/>
      <c r="S144" s="93"/>
    </row>
    <row r="145" spans="2:19" x14ac:dyDescent="0.25">
      <c r="B145" s="91">
        <f t="shared" si="7"/>
        <v>45588.999999999658</v>
      </c>
      <c r="C145" s="52">
        <f t="shared" si="8"/>
        <v>6.000000000000008</v>
      </c>
      <c r="D145" s="92">
        <f>Table110[[#This Row],[Fecha]]</f>
        <v>45588.999999999658</v>
      </c>
      <c r="E145" s="53" t="e">
        <f>VLOOKUP(Table110[[#This Row],[FECHA /HORA]],TBL_CalcDarwin[],7,0)</f>
        <v>#N/A</v>
      </c>
      <c r="F145" s="53" t="e">
        <f>VLOOKUP(Table110[[#This Row],[FECHA /HORA]],TBL_CalcDarwin[],42,0)</f>
        <v>#N/A</v>
      </c>
      <c r="G145" s="53" t="e">
        <f>VLOOKUP(Table110[[#This Row],[FECHA /HORA]],TBL_CalcDarwin[],43,0)</f>
        <v>#N/A</v>
      </c>
      <c r="H145" s="53" t="e">
        <f>VLOOKUP(Table110[[#This Row],[FECHA /HORA]],TBL_CalcDarwin[],40,0)</f>
        <v>#N/A</v>
      </c>
      <c r="I145" s="53" t="e">
        <f>VLOOKUP(Table110[[#This Row],[FECHA /HORA]],TBL_CalcDarwin[],41,0)</f>
        <v>#N/A</v>
      </c>
      <c r="J145" s="53" t="e">
        <f>Table110[[#This Row],[MW Proyectada (Barra A)]]+Table110[[#This Row],[MW Proyectada (Barra B)]]</f>
        <v>#N/A</v>
      </c>
      <c r="L145" s="53" t="e">
        <f t="shared" si="6"/>
        <v>#N/A</v>
      </c>
      <c r="M145" s="53" t="e">
        <f>IF(Table110[[#This Row],[TOTAL MW]]&lt;165,Table110[[#This Row],[MW Proyectada (Barra A)]],Table110[[#This Row],[MW Proyectada (Barra A)]]*165/Table110[[#This Row],[TOTAL MW]])</f>
        <v>#N/A</v>
      </c>
      <c r="N145" s="53" t="e">
        <f>IF(Table110[[#This Row],[TOTAL MW]]&lt;165,Table110[[#This Row],[MW Proyectada (Barra B)]],Table110[[#This Row],[MW Proyectada (Barra B)]]*165/Table110[[#This Row],[TOTAL MW]])</f>
        <v>#N/A</v>
      </c>
      <c r="P145" s="90"/>
      <c r="Q145" s="90"/>
      <c r="R145" s="93"/>
      <c r="S145" s="93"/>
    </row>
    <row r="146" spans="2:19" x14ac:dyDescent="0.25">
      <c r="B146" s="91">
        <f t="shared" si="7"/>
        <v>45589.041666666322</v>
      </c>
      <c r="C146" s="52">
        <f t="shared" si="8"/>
        <v>6.041666666666675</v>
      </c>
      <c r="D146" s="92">
        <f>Table110[[#This Row],[Fecha]]</f>
        <v>45589.041666666322</v>
      </c>
      <c r="E146" s="53" t="e">
        <f>VLOOKUP(Table110[[#This Row],[FECHA /HORA]],TBL_CalcDarwin[],7,0)</f>
        <v>#N/A</v>
      </c>
      <c r="F146" s="53" t="e">
        <f>VLOOKUP(Table110[[#This Row],[FECHA /HORA]],TBL_CalcDarwin[],42,0)</f>
        <v>#N/A</v>
      </c>
      <c r="G146" s="53" t="e">
        <f>VLOOKUP(Table110[[#This Row],[FECHA /HORA]],TBL_CalcDarwin[],43,0)</f>
        <v>#N/A</v>
      </c>
      <c r="H146" s="53" t="e">
        <f>VLOOKUP(Table110[[#This Row],[FECHA /HORA]],TBL_CalcDarwin[],40,0)</f>
        <v>#N/A</v>
      </c>
      <c r="I146" s="53" t="e">
        <f>VLOOKUP(Table110[[#This Row],[FECHA /HORA]],TBL_CalcDarwin[],41,0)</f>
        <v>#N/A</v>
      </c>
      <c r="J146" s="53" t="e">
        <f>Table110[[#This Row],[MW Proyectada (Barra A)]]+Table110[[#This Row],[MW Proyectada (Barra B)]]</f>
        <v>#N/A</v>
      </c>
      <c r="L146" s="53" t="e">
        <f t="shared" si="6"/>
        <v>#N/A</v>
      </c>
      <c r="M146" s="53" t="e">
        <f>IF(Table110[[#This Row],[TOTAL MW]]&lt;165,Table110[[#This Row],[MW Proyectada (Barra A)]],Table110[[#This Row],[MW Proyectada (Barra A)]]*165/Table110[[#This Row],[TOTAL MW]])</f>
        <v>#N/A</v>
      </c>
      <c r="N146" s="53" t="e">
        <f>IF(Table110[[#This Row],[TOTAL MW]]&lt;165,Table110[[#This Row],[MW Proyectada (Barra B)]],Table110[[#This Row],[MW Proyectada (Barra B)]]*165/Table110[[#This Row],[TOTAL MW]])</f>
        <v>#N/A</v>
      </c>
      <c r="P146" s="90"/>
      <c r="Q146" s="90"/>
      <c r="R146" s="93"/>
      <c r="S146" s="93"/>
    </row>
    <row r="147" spans="2:19" x14ac:dyDescent="0.25">
      <c r="B147" s="91">
        <f t="shared" si="7"/>
        <v>45589.083333332987</v>
      </c>
      <c r="C147" s="52">
        <f t="shared" si="8"/>
        <v>6.0833333333333419</v>
      </c>
      <c r="D147" s="92">
        <f>Table110[[#This Row],[Fecha]]</f>
        <v>45589.083333332987</v>
      </c>
      <c r="E147" s="53" t="e">
        <f>VLOOKUP(Table110[[#This Row],[FECHA /HORA]],TBL_CalcDarwin[],7,0)</f>
        <v>#N/A</v>
      </c>
      <c r="F147" s="53" t="e">
        <f>VLOOKUP(Table110[[#This Row],[FECHA /HORA]],TBL_CalcDarwin[],42,0)</f>
        <v>#N/A</v>
      </c>
      <c r="G147" s="53" t="e">
        <f>VLOOKUP(Table110[[#This Row],[FECHA /HORA]],TBL_CalcDarwin[],43,0)</f>
        <v>#N/A</v>
      </c>
      <c r="H147" s="53" t="e">
        <f>VLOOKUP(Table110[[#This Row],[FECHA /HORA]],TBL_CalcDarwin[],40,0)</f>
        <v>#N/A</v>
      </c>
      <c r="I147" s="53" t="e">
        <f>VLOOKUP(Table110[[#This Row],[FECHA /HORA]],TBL_CalcDarwin[],41,0)</f>
        <v>#N/A</v>
      </c>
      <c r="J147" s="53" t="e">
        <f>Table110[[#This Row],[MW Proyectada (Barra A)]]+Table110[[#This Row],[MW Proyectada (Barra B)]]</f>
        <v>#N/A</v>
      </c>
      <c r="L147" s="53" t="e">
        <f t="shared" si="6"/>
        <v>#N/A</v>
      </c>
      <c r="M147" s="53" t="e">
        <f>IF(Table110[[#This Row],[TOTAL MW]]&lt;165,Table110[[#This Row],[MW Proyectada (Barra A)]],Table110[[#This Row],[MW Proyectada (Barra A)]]*165/Table110[[#This Row],[TOTAL MW]])</f>
        <v>#N/A</v>
      </c>
      <c r="N147" s="53" t="e">
        <f>IF(Table110[[#This Row],[TOTAL MW]]&lt;165,Table110[[#This Row],[MW Proyectada (Barra B)]],Table110[[#This Row],[MW Proyectada (Barra B)]]*165/Table110[[#This Row],[TOTAL MW]])</f>
        <v>#N/A</v>
      </c>
      <c r="P147" s="90"/>
      <c r="Q147" s="90"/>
      <c r="R147" s="93"/>
      <c r="S147" s="93"/>
    </row>
    <row r="148" spans="2:19" x14ac:dyDescent="0.25">
      <c r="B148" s="91">
        <f t="shared" si="7"/>
        <v>45589.124999999651</v>
      </c>
      <c r="C148" s="52">
        <f t="shared" si="8"/>
        <v>6.1250000000000089</v>
      </c>
      <c r="D148" s="92">
        <f>Table110[[#This Row],[Fecha]]</f>
        <v>45589.124999999651</v>
      </c>
      <c r="E148" s="53" t="e">
        <f>VLOOKUP(Table110[[#This Row],[FECHA /HORA]],TBL_CalcDarwin[],7,0)</f>
        <v>#N/A</v>
      </c>
      <c r="F148" s="53" t="e">
        <f>VLOOKUP(Table110[[#This Row],[FECHA /HORA]],TBL_CalcDarwin[],42,0)</f>
        <v>#N/A</v>
      </c>
      <c r="G148" s="53" t="e">
        <f>VLOOKUP(Table110[[#This Row],[FECHA /HORA]],TBL_CalcDarwin[],43,0)</f>
        <v>#N/A</v>
      </c>
      <c r="H148" s="53" t="e">
        <f>VLOOKUP(Table110[[#This Row],[FECHA /HORA]],TBL_CalcDarwin[],40,0)</f>
        <v>#N/A</v>
      </c>
      <c r="I148" s="53" t="e">
        <f>VLOOKUP(Table110[[#This Row],[FECHA /HORA]],TBL_CalcDarwin[],41,0)</f>
        <v>#N/A</v>
      </c>
      <c r="J148" s="53" t="e">
        <f>Table110[[#This Row],[MW Proyectada (Barra A)]]+Table110[[#This Row],[MW Proyectada (Barra B)]]</f>
        <v>#N/A</v>
      </c>
      <c r="L148" s="53" t="e">
        <f t="shared" si="6"/>
        <v>#N/A</v>
      </c>
      <c r="M148" s="53" t="e">
        <f>IF(Table110[[#This Row],[TOTAL MW]]&lt;165,Table110[[#This Row],[MW Proyectada (Barra A)]],Table110[[#This Row],[MW Proyectada (Barra A)]]*165/Table110[[#This Row],[TOTAL MW]])</f>
        <v>#N/A</v>
      </c>
      <c r="N148" s="53" t="e">
        <f>IF(Table110[[#This Row],[TOTAL MW]]&lt;165,Table110[[#This Row],[MW Proyectada (Barra B)]],Table110[[#This Row],[MW Proyectada (Barra B)]]*165/Table110[[#This Row],[TOTAL MW]])</f>
        <v>#N/A</v>
      </c>
      <c r="P148" s="90"/>
      <c r="Q148" s="90"/>
      <c r="R148" s="93"/>
      <c r="S148" s="93"/>
    </row>
    <row r="149" spans="2:19" x14ac:dyDescent="0.25">
      <c r="B149" s="91">
        <f t="shared" si="7"/>
        <v>45589.166666666315</v>
      </c>
      <c r="C149" s="52">
        <f t="shared" si="8"/>
        <v>6.1666666666666758</v>
      </c>
      <c r="D149" s="92">
        <f>Table110[[#This Row],[Fecha]]</f>
        <v>45589.166666666315</v>
      </c>
      <c r="E149" s="53" t="e">
        <f>VLOOKUP(Table110[[#This Row],[FECHA /HORA]],TBL_CalcDarwin[],7,0)</f>
        <v>#N/A</v>
      </c>
      <c r="F149" s="53" t="e">
        <f>VLOOKUP(Table110[[#This Row],[FECHA /HORA]],TBL_CalcDarwin[],42,0)</f>
        <v>#N/A</v>
      </c>
      <c r="G149" s="53" t="e">
        <f>VLOOKUP(Table110[[#This Row],[FECHA /HORA]],TBL_CalcDarwin[],43,0)</f>
        <v>#N/A</v>
      </c>
      <c r="H149" s="53" t="e">
        <f>VLOOKUP(Table110[[#This Row],[FECHA /HORA]],TBL_CalcDarwin[],40,0)</f>
        <v>#N/A</v>
      </c>
      <c r="I149" s="53" t="e">
        <f>VLOOKUP(Table110[[#This Row],[FECHA /HORA]],TBL_CalcDarwin[],41,0)</f>
        <v>#N/A</v>
      </c>
      <c r="J149" s="53" t="e">
        <f>Table110[[#This Row],[MW Proyectada (Barra A)]]+Table110[[#This Row],[MW Proyectada (Barra B)]]</f>
        <v>#N/A</v>
      </c>
      <c r="L149" s="53" t="e">
        <f t="shared" si="6"/>
        <v>#N/A</v>
      </c>
      <c r="M149" s="53" t="e">
        <f>IF(Table110[[#This Row],[TOTAL MW]]&lt;165,Table110[[#This Row],[MW Proyectada (Barra A)]],Table110[[#This Row],[MW Proyectada (Barra A)]]*165/Table110[[#This Row],[TOTAL MW]])</f>
        <v>#N/A</v>
      </c>
      <c r="N149" s="53" t="e">
        <f>IF(Table110[[#This Row],[TOTAL MW]]&lt;165,Table110[[#This Row],[MW Proyectada (Barra B)]],Table110[[#This Row],[MW Proyectada (Barra B)]]*165/Table110[[#This Row],[TOTAL MW]])</f>
        <v>#N/A</v>
      </c>
      <c r="P149" s="90"/>
      <c r="Q149" s="90"/>
      <c r="R149" s="93"/>
      <c r="S149" s="93"/>
    </row>
    <row r="150" spans="2:19" x14ac:dyDescent="0.25">
      <c r="B150" s="91">
        <f t="shared" si="7"/>
        <v>45589.208333332979</v>
      </c>
      <c r="C150" s="52">
        <f t="shared" si="8"/>
        <v>6.2083333333333428</v>
      </c>
      <c r="D150" s="92">
        <f>Table110[[#This Row],[Fecha]]</f>
        <v>45589.208333332979</v>
      </c>
      <c r="E150" s="53" t="e">
        <f>VLOOKUP(Table110[[#This Row],[FECHA /HORA]],TBL_CalcDarwin[],7,0)</f>
        <v>#N/A</v>
      </c>
      <c r="F150" s="53" t="e">
        <f>VLOOKUP(Table110[[#This Row],[FECHA /HORA]],TBL_CalcDarwin[],42,0)</f>
        <v>#N/A</v>
      </c>
      <c r="G150" s="53" t="e">
        <f>VLOOKUP(Table110[[#This Row],[FECHA /HORA]],TBL_CalcDarwin[],43,0)</f>
        <v>#N/A</v>
      </c>
      <c r="H150" s="53" t="e">
        <f>VLOOKUP(Table110[[#This Row],[FECHA /HORA]],TBL_CalcDarwin[],40,0)</f>
        <v>#N/A</v>
      </c>
      <c r="I150" s="53" t="e">
        <f>VLOOKUP(Table110[[#This Row],[FECHA /HORA]],TBL_CalcDarwin[],41,0)</f>
        <v>#N/A</v>
      </c>
      <c r="J150" s="53" t="e">
        <f>Table110[[#This Row],[MW Proyectada (Barra A)]]+Table110[[#This Row],[MW Proyectada (Barra B)]]</f>
        <v>#N/A</v>
      </c>
      <c r="L150" s="53" t="e">
        <f t="shared" si="6"/>
        <v>#N/A</v>
      </c>
      <c r="M150" s="53" t="e">
        <f>IF(Table110[[#This Row],[TOTAL MW]]&lt;165,Table110[[#This Row],[MW Proyectada (Barra A)]],Table110[[#This Row],[MW Proyectada (Barra A)]]*165/Table110[[#This Row],[TOTAL MW]])</f>
        <v>#N/A</v>
      </c>
      <c r="N150" s="53" t="e">
        <f>IF(Table110[[#This Row],[TOTAL MW]]&lt;165,Table110[[#This Row],[MW Proyectada (Barra B)]],Table110[[#This Row],[MW Proyectada (Barra B)]]*165/Table110[[#This Row],[TOTAL MW]])</f>
        <v>#N/A</v>
      </c>
      <c r="P150" s="90"/>
      <c r="Q150" s="90"/>
      <c r="R150" s="93"/>
      <c r="S150" s="93"/>
    </row>
    <row r="151" spans="2:19" x14ac:dyDescent="0.25">
      <c r="B151" s="91">
        <f t="shared" si="7"/>
        <v>45589.249999999643</v>
      </c>
      <c r="C151" s="52">
        <f t="shared" si="8"/>
        <v>6.2500000000000098</v>
      </c>
      <c r="D151" s="92">
        <f>Table110[[#This Row],[Fecha]]</f>
        <v>45589.249999999643</v>
      </c>
      <c r="E151" s="53" t="e">
        <f>VLOOKUP(Table110[[#This Row],[FECHA /HORA]],TBL_CalcDarwin[],7,0)</f>
        <v>#N/A</v>
      </c>
      <c r="F151" s="53" t="e">
        <f>VLOOKUP(Table110[[#This Row],[FECHA /HORA]],TBL_CalcDarwin[],42,0)</f>
        <v>#N/A</v>
      </c>
      <c r="G151" s="53" t="e">
        <f>VLOOKUP(Table110[[#This Row],[FECHA /HORA]],TBL_CalcDarwin[],43,0)</f>
        <v>#N/A</v>
      </c>
      <c r="H151" s="53" t="e">
        <f>VLOOKUP(Table110[[#This Row],[FECHA /HORA]],TBL_CalcDarwin[],40,0)</f>
        <v>#N/A</v>
      </c>
      <c r="I151" s="53" t="e">
        <f>VLOOKUP(Table110[[#This Row],[FECHA /HORA]],TBL_CalcDarwin[],41,0)</f>
        <v>#N/A</v>
      </c>
      <c r="J151" s="53" t="e">
        <f>Table110[[#This Row],[MW Proyectada (Barra A)]]+Table110[[#This Row],[MW Proyectada (Barra B)]]</f>
        <v>#N/A</v>
      </c>
      <c r="L151" s="53" t="e">
        <f t="shared" si="6"/>
        <v>#N/A</v>
      </c>
      <c r="M151" s="53" t="e">
        <f>IF(Table110[[#This Row],[TOTAL MW]]&lt;165,Table110[[#This Row],[MW Proyectada (Barra A)]],Table110[[#This Row],[MW Proyectada (Barra A)]]*165/Table110[[#This Row],[TOTAL MW]])</f>
        <v>#N/A</v>
      </c>
      <c r="N151" s="53" t="e">
        <f>IF(Table110[[#This Row],[TOTAL MW]]&lt;165,Table110[[#This Row],[MW Proyectada (Barra B)]],Table110[[#This Row],[MW Proyectada (Barra B)]]*165/Table110[[#This Row],[TOTAL MW]])</f>
        <v>#N/A</v>
      </c>
      <c r="P151" s="90"/>
      <c r="Q151" s="90"/>
      <c r="R151" s="93"/>
      <c r="S151" s="93"/>
    </row>
    <row r="152" spans="2:19" x14ac:dyDescent="0.25">
      <c r="B152" s="91">
        <f t="shared" si="7"/>
        <v>45589.291666666308</v>
      </c>
      <c r="C152" s="52">
        <f t="shared" si="8"/>
        <v>6.2916666666666767</v>
      </c>
      <c r="D152" s="92">
        <f>Table110[[#This Row],[Fecha]]</f>
        <v>45589.291666666308</v>
      </c>
      <c r="E152" s="53" t="e">
        <f>VLOOKUP(Table110[[#This Row],[FECHA /HORA]],TBL_CalcDarwin[],7,0)</f>
        <v>#N/A</v>
      </c>
      <c r="F152" s="53" t="e">
        <f>VLOOKUP(Table110[[#This Row],[FECHA /HORA]],TBL_CalcDarwin[],42,0)</f>
        <v>#N/A</v>
      </c>
      <c r="G152" s="53" t="e">
        <f>VLOOKUP(Table110[[#This Row],[FECHA /HORA]],TBL_CalcDarwin[],43,0)</f>
        <v>#N/A</v>
      </c>
      <c r="H152" s="53" t="e">
        <f>VLOOKUP(Table110[[#This Row],[FECHA /HORA]],TBL_CalcDarwin[],40,0)</f>
        <v>#N/A</v>
      </c>
      <c r="I152" s="53" t="e">
        <f>VLOOKUP(Table110[[#This Row],[FECHA /HORA]],TBL_CalcDarwin[],41,0)</f>
        <v>#N/A</v>
      </c>
      <c r="J152" s="53" t="e">
        <f>Table110[[#This Row],[MW Proyectada (Barra A)]]+Table110[[#This Row],[MW Proyectada (Barra B)]]</f>
        <v>#N/A</v>
      </c>
      <c r="L152" s="53" t="e">
        <f t="shared" si="6"/>
        <v>#N/A</v>
      </c>
      <c r="M152" s="53" t="e">
        <f>IF(Table110[[#This Row],[TOTAL MW]]&lt;165,Table110[[#This Row],[MW Proyectada (Barra A)]],Table110[[#This Row],[MW Proyectada (Barra A)]]*165/Table110[[#This Row],[TOTAL MW]])</f>
        <v>#N/A</v>
      </c>
      <c r="N152" s="53" t="e">
        <f>IF(Table110[[#This Row],[TOTAL MW]]&lt;165,Table110[[#This Row],[MW Proyectada (Barra B)]],Table110[[#This Row],[MW Proyectada (Barra B)]]*165/Table110[[#This Row],[TOTAL MW]])</f>
        <v>#N/A</v>
      </c>
      <c r="P152" s="90"/>
      <c r="Q152" s="90"/>
      <c r="R152" s="93"/>
      <c r="S152" s="93"/>
    </row>
    <row r="153" spans="2:19" x14ac:dyDescent="0.25">
      <c r="B153" s="91">
        <f t="shared" si="7"/>
        <v>45589.333333332972</v>
      </c>
      <c r="C153" s="52">
        <f t="shared" si="8"/>
        <v>6.3333333333333437</v>
      </c>
      <c r="D153" s="92">
        <f>Table110[[#This Row],[Fecha]]</f>
        <v>45589.333333332972</v>
      </c>
      <c r="E153" s="53" t="e">
        <f>VLOOKUP(Table110[[#This Row],[FECHA /HORA]],TBL_CalcDarwin[],7,0)</f>
        <v>#N/A</v>
      </c>
      <c r="F153" s="53" t="e">
        <f>VLOOKUP(Table110[[#This Row],[FECHA /HORA]],TBL_CalcDarwin[],42,0)</f>
        <v>#N/A</v>
      </c>
      <c r="G153" s="53" t="e">
        <f>VLOOKUP(Table110[[#This Row],[FECHA /HORA]],TBL_CalcDarwin[],43,0)</f>
        <v>#N/A</v>
      </c>
      <c r="H153" s="53" t="e">
        <f>VLOOKUP(Table110[[#This Row],[FECHA /HORA]],TBL_CalcDarwin[],40,0)</f>
        <v>#N/A</v>
      </c>
      <c r="I153" s="53" t="e">
        <f>VLOOKUP(Table110[[#This Row],[FECHA /HORA]],TBL_CalcDarwin[],41,0)</f>
        <v>#N/A</v>
      </c>
      <c r="J153" s="53" t="e">
        <f>Table110[[#This Row],[MW Proyectada (Barra A)]]+Table110[[#This Row],[MW Proyectada (Barra B)]]</f>
        <v>#N/A</v>
      </c>
      <c r="L153" s="53" t="e">
        <f t="shared" si="6"/>
        <v>#N/A</v>
      </c>
      <c r="M153" s="53" t="e">
        <f>IF(Table110[[#This Row],[TOTAL MW]]&lt;165,Table110[[#This Row],[MW Proyectada (Barra A)]],Table110[[#This Row],[MW Proyectada (Barra A)]]*165/Table110[[#This Row],[TOTAL MW]])</f>
        <v>#N/A</v>
      </c>
      <c r="N153" s="53" t="e">
        <f>IF(Table110[[#This Row],[TOTAL MW]]&lt;165,Table110[[#This Row],[MW Proyectada (Barra B)]],Table110[[#This Row],[MW Proyectada (Barra B)]]*165/Table110[[#This Row],[TOTAL MW]])</f>
        <v>#N/A</v>
      </c>
      <c r="P153" s="90"/>
      <c r="Q153" s="90"/>
      <c r="R153" s="93"/>
      <c r="S153" s="93"/>
    </row>
    <row r="154" spans="2:19" x14ac:dyDescent="0.25">
      <c r="B154" s="91">
        <f t="shared" si="7"/>
        <v>45589.374999999636</v>
      </c>
      <c r="C154" s="52">
        <f t="shared" si="8"/>
        <v>6.3750000000000107</v>
      </c>
      <c r="D154" s="92">
        <f>Table110[[#This Row],[Fecha]]</f>
        <v>45589.374999999636</v>
      </c>
      <c r="E154" s="53" t="e">
        <f>VLOOKUP(Table110[[#This Row],[FECHA /HORA]],TBL_CalcDarwin[],7,0)</f>
        <v>#N/A</v>
      </c>
      <c r="F154" s="53" t="e">
        <f>VLOOKUP(Table110[[#This Row],[FECHA /HORA]],TBL_CalcDarwin[],42,0)</f>
        <v>#N/A</v>
      </c>
      <c r="G154" s="53" t="e">
        <f>VLOOKUP(Table110[[#This Row],[FECHA /HORA]],TBL_CalcDarwin[],43,0)</f>
        <v>#N/A</v>
      </c>
      <c r="H154" s="53" t="e">
        <f>VLOOKUP(Table110[[#This Row],[FECHA /HORA]],TBL_CalcDarwin[],40,0)</f>
        <v>#N/A</v>
      </c>
      <c r="I154" s="53" t="e">
        <f>VLOOKUP(Table110[[#This Row],[FECHA /HORA]],TBL_CalcDarwin[],41,0)</f>
        <v>#N/A</v>
      </c>
      <c r="J154" s="53" t="e">
        <f>Table110[[#This Row],[MW Proyectada (Barra A)]]+Table110[[#This Row],[MW Proyectada (Barra B)]]</f>
        <v>#N/A</v>
      </c>
      <c r="L154" s="53" t="e">
        <f t="shared" si="6"/>
        <v>#N/A</v>
      </c>
      <c r="M154" s="53" t="e">
        <f>IF(Table110[[#This Row],[TOTAL MW]]&lt;165,Table110[[#This Row],[MW Proyectada (Barra A)]],Table110[[#This Row],[MW Proyectada (Barra A)]]*165/Table110[[#This Row],[TOTAL MW]])</f>
        <v>#N/A</v>
      </c>
      <c r="N154" s="53" t="e">
        <f>IF(Table110[[#This Row],[TOTAL MW]]&lt;165,Table110[[#This Row],[MW Proyectada (Barra B)]],Table110[[#This Row],[MW Proyectada (Barra B)]]*165/Table110[[#This Row],[TOTAL MW]])</f>
        <v>#N/A</v>
      </c>
      <c r="P154" s="90"/>
      <c r="Q154" s="90"/>
      <c r="R154" s="93"/>
      <c r="S154" s="93"/>
    </row>
    <row r="155" spans="2:19" x14ac:dyDescent="0.25">
      <c r="B155" s="91">
        <f t="shared" si="7"/>
        <v>45589.4166666663</v>
      </c>
      <c r="C155" s="52">
        <f t="shared" si="8"/>
        <v>6.4166666666666776</v>
      </c>
      <c r="D155" s="92">
        <f>Table110[[#This Row],[Fecha]]</f>
        <v>45589.4166666663</v>
      </c>
      <c r="E155" s="53" t="e">
        <f>VLOOKUP(Table110[[#This Row],[FECHA /HORA]],TBL_CalcDarwin[],7,0)</f>
        <v>#N/A</v>
      </c>
      <c r="F155" s="53" t="e">
        <f>VLOOKUP(Table110[[#This Row],[FECHA /HORA]],TBL_CalcDarwin[],42,0)</f>
        <v>#N/A</v>
      </c>
      <c r="G155" s="53" t="e">
        <f>VLOOKUP(Table110[[#This Row],[FECHA /HORA]],TBL_CalcDarwin[],43,0)</f>
        <v>#N/A</v>
      </c>
      <c r="H155" s="53" t="e">
        <f>VLOOKUP(Table110[[#This Row],[FECHA /HORA]],TBL_CalcDarwin[],40,0)</f>
        <v>#N/A</v>
      </c>
      <c r="I155" s="53" t="e">
        <f>VLOOKUP(Table110[[#This Row],[FECHA /HORA]],TBL_CalcDarwin[],41,0)</f>
        <v>#N/A</v>
      </c>
      <c r="J155" s="53" t="e">
        <f>Table110[[#This Row],[MW Proyectada (Barra A)]]+Table110[[#This Row],[MW Proyectada (Barra B)]]</f>
        <v>#N/A</v>
      </c>
      <c r="L155" s="53" t="e">
        <f t="shared" si="6"/>
        <v>#N/A</v>
      </c>
      <c r="M155" s="53" t="e">
        <f>IF(Table110[[#This Row],[TOTAL MW]]&lt;165,Table110[[#This Row],[MW Proyectada (Barra A)]],Table110[[#This Row],[MW Proyectada (Barra A)]]*165/Table110[[#This Row],[TOTAL MW]])</f>
        <v>#N/A</v>
      </c>
      <c r="N155" s="53" t="e">
        <f>IF(Table110[[#This Row],[TOTAL MW]]&lt;165,Table110[[#This Row],[MW Proyectada (Barra B)]],Table110[[#This Row],[MW Proyectada (Barra B)]]*165/Table110[[#This Row],[TOTAL MW]])</f>
        <v>#N/A</v>
      </c>
      <c r="P155" s="90"/>
      <c r="Q155" s="90"/>
      <c r="R155" s="93"/>
      <c r="S155" s="93"/>
    </row>
    <row r="156" spans="2:19" x14ac:dyDescent="0.25">
      <c r="B156" s="91">
        <f t="shared" si="7"/>
        <v>45589.458333332965</v>
      </c>
      <c r="C156" s="52">
        <f t="shared" si="8"/>
        <v>6.4583333333333446</v>
      </c>
      <c r="D156" s="92">
        <f>Table110[[#This Row],[Fecha]]</f>
        <v>45589.458333332965</v>
      </c>
      <c r="E156" s="53" t="e">
        <f>VLOOKUP(Table110[[#This Row],[FECHA /HORA]],TBL_CalcDarwin[],7,0)</f>
        <v>#N/A</v>
      </c>
      <c r="F156" s="53" t="e">
        <f>VLOOKUP(Table110[[#This Row],[FECHA /HORA]],TBL_CalcDarwin[],42,0)</f>
        <v>#N/A</v>
      </c>
      <c r="G156" s="53" t="e">
        <f>VLOOKUP(Table110[[#This Row],[FECHA /HORA]],TBL_CalcDarwin[],43,0)</f>
        <v>#N/A</v>
      </c>
      <c r="H156" s="53" t="e">
        <f>VLOOKUP(Table110[[#This Row],[FECHA /HORA]],TBL_CalcDarwin[],40,0)</f>
        <v>#N/A</v>
      </c>
      <c r="I156" s="53" t="e">
        <f>VLOOKUP(Table110[[#This Row],[FECHA /HORA]],TBL_CalcDarwin[],41,0)</f>
        <v>#N/A</v>
      </c>
      <c r="J156" s="53" t="e">
        <f>Table110[[#This Row],[MW Proyectada (Barra A)]]+Table110[[#This Row],[MW Proyectada (Barra B)]]</f>
        <v>#N/A</v>
      </c>
      <c r="L156" s="53" t="e">
        <f t="shared" si="6"/>
        <v>#N/A</v>
      </c>
      <c r="M156" s="53" t="e">
        <f>IF(Table110[[#This Row],[TOTAL MW]]&lt;165,Table110[[#This Row],[MW Proyectada (Barra A)]],Table110[[#This Row],[MW Proyectada (Barra A)]]*165/Table110[[#This Row],[TOTAL MW]])</f>
        <v>#N/A</v>
      </c>
      <c r="N156" s="53" t="e">
        <f>IF(Table110[[#This Row],[TOTAL MW]]&lt;165,Table110[[#This Row],[MW Proyectada (Barra B)]],Table110[[#This Row],[MW Proyectada (Barra B)]]*165/Table110[[#This Row],[TOTAL MW]])</f>
        <v>#N/A</v>
      </c>
      <c r="P156" s="90"/>
      <c r="Q156" s="90"/>
      <c r="R156" s="93"/>
      <c r="S156" s="93"/>
    </row>
    <row r="157" spans="2:19" x14ac:dyDescent="0.25">
      <c r="B157" s="91">
        <f t="shared" si="7"/>
        <v>45589.499999999629</v>
      </c>
      <c r="C157" s="52">
        <f t="shared" si="8"/>
        <v>6.5000000000000115</v>
      </c>
      <c r="D157" s="92">
        <f>Table110[[#This Row],[Fecha]]</f>
        <v>45589.499999999629</v>
      </c>
      <c r="E157" s="53" t="e">
        <f>VLOOKUP(Table110[[#This Row],[FECHA /HORA]],TBL_CalcDarwin[],7,0)</f>
        <v>#N/A</v>
      </c>
      <c r="F157" s="53" t="e">
        <f>VLOOKUP(Table110[[#This Row],[FECHA /HORA]],TBL_CalcDarwin[],42,0)</f>
        <v>#N/A</v>
      </c>
      <c r="G157" s="53" t="e">
        <f>VLOOKUP(Table110[[#This Row],[FECHA /HORA]],TBL_CalcDarwin[],43,0)</f>
        <v>#N/A</v>
      </c>
      <c r="H157" s="53" t="e">
        <f>VLOOKUP(Table110[[#This Row],[FECHA /HORA]],TBL_CalcDarwin[],40,0)</f>
        <v>#N/A</v>
      </c>
      <c r="I157" s="53" t="e">
        <f>VLOOKUP(Table110[[#This Row],[FECHA /HORA]],TBL_CalcDarwin[],41,0)</f>
        <v>#N/A</v>
      </c>
      <c r="J157" s="53" t="e">
        <f>Table110[[#This Row],[MW Proyectada (Barra A)]]+Table110[[#This Row],[MW Proyectada (Barra B)]]</f>
        <v>#N/A</v>
      </c>
      <c r="L157" s="53" t="e">
        <f t="shared" si="6"/>
        <v>#N/A</v>
      </c>
      <c r="M157" s="53" t="e">
        <f>IF(Table110[[#This Row],[TOTAL MW]]&lt;165,Table110[[#This Row],[MW Proyectada (Barra A)]],Table110[[#This Row],[MW Proyectada (Barra A)]]*165/Table110[[#This Row],[TOTAL MW]])</f>
        <v>#N/A</v>
      </c>
      <c r="N157" s="53" t="e">
        <f>IF(Table110[[#This Row],[TOTAL MW]]&lt;165,Table110[[#This Row],[MW Proyectada (Barra B)]],Table110[[#This Row],[MW Proyectada (Barra B)]]*165/Table110[[#This Row],[TOTAL MW]])</f>
        <v>#N/A</v>
      </c>
      <c r="P157" s="90"/>
      <c r="Q157" s="90"/>
      <c r="R157" s="93"/>
      <c r="S157" s="93"/>
    </row>
    <row r="158" spans="2:19" x14ac:dyDescent="0.25">
      <c r="B158" s="91">
        <f t="shared" si="7"/>
        <v>45589.541666666293</v>
      </c>
      <c r="C158" s="52">
        <f t="shared" si="8"/>
        <v>6.5416666666666785</v>
      </c>
      <c r="D158" s="92">
        <f>Table110[[#This Row],[Fecha]]</f>
        <v>45589.541666666293</v>
      </c>
      <c r="E158" s="53" t="e">
        <f>VLOOKUP(Table110[[#This Row],[FECHA /HORA]],TBL_CalcDarwin[],7,0)</f>
        <v>#N/A</v>
      </c>
      <c r="F158" s="53" t="e">
        <f>VLOOKUP(Table110[[#This Row],[FECHA /HORA]],TBL_CalcDarwin[],42,0)</f>
        <v>#N/A</v>
      </c>
      <c r="G158" s="53" t="e">
        <f>VLOOKUP(Table110[[#This Row],[FECHA /HORA]],TBL_CalcDarwin[],43,0)</f>
        <v>#N/A</v>
      </c>
      <c r="H158" s="53" t="e">
        <f>VLOOKUP(Table110[[#This Row],[FECHA /HORA]],TBL_CalcDarwin[],40,0)</f>
        <v>#N/A</v>
      </c>
      <c r="I158" s="53" t="e">
        <f>VLOOKUP(Table110[[#This Row],[FECHA /HORA]],TBL_CalcDarwin[],41,0)</f>
        <v>#N/A</v>
      </c>
      <c r="J158" s="53" t="e">
        <f>Table110[[#This Row],[MW Proyectada (Barra A)]]+Table110[[#This Row],[MW Proyectada (Barra B)]]</f>
        <v>#N/A</v>
      </c>
      <c r="L158" s="53" t="e">
        <f t="shared" si="6"/>
        <v>#N/A</v>
      </c>
      <c r="M158" s="53" t="e">
        <f>IF(Table110[[#This Row],[TOTAL MW]]&lt;165,Table110[[#This Row],[MW Proyectada (Barra A)]],Table110[[#This Row],[MW Proyectada (Barra A)]]*165/Table110[[#This Row],[TOTAL MW]])</f>
        <v>#N/A</v>
      </c>
      <c r="N158" s="53" t="e">
        <f>IF(Table110[[#This Row],[TOTAL MW]]&lt;165,Table110[[#This Row],[MW Proyectada (Barra B)]],Table110[[#This Row],[MW Proyectada (Barra B)]]*165/Table110[[#This Row],[TOTAL MW]])</f>
        <v>#N/A</v>
      </c>
      <c r="P158" s="90"/>
      <c r="Q158" s="90"/>
      <c r="R158" s="93"/>
      <c r="S158" s="93"/>
    </row>
    <row r="159" spans="2:19" x14ac:dyDescent="0.25">
      <c r="B159" s="91">
        <f t="shared" si="7"/>
        <v>45589.583333332957</v>
      </c>
      <c r="C159" s="52">
        <f t="shared" si="8"/>
        <v>6.5833333333333455</v>
      </c>
      <c r="D159" s="92">
        <f>Table110[[#This Row],[Fecha]]</f>
        <v>45589.583333332957</v>
      </c>
      <c r="E159" s="53" t="e">
        <f>VLOOKUP(Table110[[#This Row],[FECHA /HORA]],TBL_CalcDarwin[],7,0)</f>
        <v>#N/A</v>
      </c>
      <c r="F159" s="53" t="e">
        <f>VLOOKUP(Table110[[#This Row],[FECHA /HORA]],TBL_CalcDarwin[],42,0)</f>
        <v>#N/A</v>
      </c>
      <c r="G159" s="53" t="e">
        <f>VLOOKUP(Table110[[#This Row],[FECHA /HORA]],TBL_CalcDarwin[],43,0)</f>
        <v>#N/A</v>
      </c>
      <c r="H159" s="53" t="e">
        <f>VLOOKUP(Table110[[#This Row],[FECHA /HORA]],TBL_CalcDarwin[],40,0)</f>
        <v>#N/A</v>
      </c>
      <c r="I159" s="53" t="e">
        <f>VLOOKUP(Table110[[#This Row],[FECHA /HORA]],TBL_CalcDarwin[],41,0)</f>
        <v>#N/A</v>
      </c>
      <c r="J159" s="53" t="e">
        <f>Table110[[#This Row],[MW Proyectada (Barra A)]]+Table110[[#This Row],[MW Proyectada (Barra B)]]</f>
        <v>#N/A</v>
      </c>
      <c r="L159" s="53" t="e">
        <f t="shared" si="6"/>
        <v>#N/A</v>
      </c>
      <c r="M159" s="53" t="e">
        <f>IF(Table110[[#This Row],[TOTAL MW]]&lt;165,Table110[[#This Row],[MW Proyectada (Barra A)]],Table110[[#This Row],[MW Proyectada (Barra A)]]*165/Table110[[#This Row],[TOTAL MW]])</f>
        <v>#N/A</v>
      </c>
      <c r="N159" s="53" t="e">
        <f>IF(Table110[[#This Row],[TOTAL MW]]&lt;165,Table110[[#This Row],[MW Proyectada (Barra B)]],Table110[[#This Row],[MW Proyectada (Barra B)]]*165/Table110[[#This Row],[TOTAL MW]])</f>
        <v>#N/A</v>
      </c>
      <c r="P159" s="90"/>
      <c r="Q159" s="90"/>
      <c r="R159" s="93"/>
      <c r="S159" s="93"/>
    </row>
    <row r="160" spans="2:19" x14ac:dyDescent="0.25">
      <c r="B160" s="91">
        <f t="shared" si="7"/>
        <v>45589.624999999622</v>
      </c>
      <c r="C160" s="52">
        <f t="shared" si="8"/>
        <v>6.6250000000000124</v>
      </c>
      <c r="D160" s="92">
        <f>Table110[[#This Row],[Fecha]]</f>
        <v>45589.624999999622</v>
      </c>
      <c r="E160" s="53" t="e">
        <f>VLOOKUP(Table110[[#This Row],[FECHA /HORA]],TBL_CalcDarwin[],7,0)</f>
        <v>#N/A</v>
      </c>
      <c r="F160" s="53" t="e">
        <f>VLOOKUP(Table110[[#This Row],[FECHA /HORA]],TBL_CalcDarwin[],42,0)</f>
        <v>#N/A</v>
      </c>
      <c r="G160" s="53" t="e">
        <f>VLOOKUP(Table110[[#This Row],[FECHA /HORA]],TBL_CalcDarwin[],43,0)</f>
        <v>#N/A</v>
      </c>
      <c r="H160" s="53" t="e">
        <f>VLOOKUP(Table110[[#This Row],[FECHA /HORA]],TBL_CalcDarwin[],40,0)</f>
        <v>#N/A</v>
      </c>
      <c r="I160" s="53" t="e">
        <f>VLOOKUP(Table110[[#This Row],[FECHA /HORA]],TBL_CalcDarwin[],41,0)</f>
        <v>#N/A</v>
      </c>
      <c r="J160" s="53" t="e">
        <f>Table110[[#This Row],[MW Proyectada (Barra A)]]+Table110[[#This Row],[MW Proyectada (Barra B)]]</f>
        <v>#N/A</v>
      </c>
      <c r="L160" s="53" t="e">
        <f t="shared" si="6"/>
        <v>#N/A</v>
      </c>
      <c r="M160" s="53" t="e">
        <f>IF(Table110[[#This Row],[TOTAL MW]]&lt;165,Table110[[#This Row],[MW Proyectada (Barra A)]],Table110[[#This Row],[MW Proyectada (Barra A)]]*165/Table110[[#This Row],[TOTAL MW]])</f>
        <v>#N/A</v>
      </c>
      <c r="N160" s="53" t="e">
        <f>IF(Table110[[#This Row],[TOTAL MW]]&lt;165,Table110[[#This Row],[MW Proyectada (Barra B)]],Table110[[#This Row],[MW Proyectada (Barra B)]]*165/Table110[[#This Row],[TOTAL MW]])</f>
        <v>#N/A</v>
      </c>
      <c r="P160" s="90"/>
      <c r="Q160" s="90"/>
      <c r="R160" s="93"/>
      <c r="S160" s="93"/>
    </row>
    <row r="161" spans="2:19" x14ac:dyDescent="0.25">
      <c r="B161" s="91">
        <f t="shared" si="7"/>
        <v>45589.666666666286</v>
      </c>
      <c r="C161" s="52">
        <f t="shared" si="8"/>
        <v>6.6666666666666794</v>
      </c>
      <c r="D161" s="92">
        <f>Table110[[#This Row],[Fecha]]</f>
        <v>45589.666666666286</v>
      </c>
      <c r="E161" s="53" t="e">
        <f>VLOOKUP(Table110[[#This Row],[FECHA /HORA]],TBL_CalcDarwin[],7,0)</f>
        <v>#N/A</v>
      </c>
      <c r="F161" s="53" t="e">
        <f>VLOOKUP(Table110[[#This Row],[FECHA /HORA]],TBL_CalcDarwin[],42,0)</f>
        <v>#N/A</v>
      </c>
      <c r="G161" s="53" t="e">
        <f>VLOOKUP(Table110[[#This Row],[FECHA /HORA]],TBL_CalcDarwin[],43,0)</f>
        <v>#N/A</v>
      </c>
      <c r="H161" s="53" t="e">
        <f>VLOOKUP(Table110[[#This Row],[FECHA /HORA]],TBL_CalcDarwin[],40,0)</f>
        <v>#N/A</v>
      </c>
      <c r="I161" s="53" t="e">
        <f>VLOOKUP(Table110[[#This Row],[FECHA /HORA]],TBL_CalcDarwin[],41,0)</f>
        <v>#N/A</v>
      </c>
      <c r="J161" s="53" t="e">
        <f>Table110[[#This Row],[MW Proyectada (Barra A)]]+Table110[[#This Row],[MW Proyectada (Barra B)]]</f>
        <v>#N/A</v>
      </c>
      <c r="L161" s="53" t="e">
        <f t="shared" si="6"/>
        <v>#N/A</v>
      </c>
      <c r="M161" s="53" t="e">
        <f>IF(Table110[[#This Row],[TOTAL MW]]&lt;165,Table110[[#This Row],[MW Proyectada (Barra A)]],Table110[[#This Row],[MW Proyectada (Barra A)]]*165/Table110[[#This Row],[TOTAL MW]])</f>
        <v>#N/A</v>
      </c>
      <c r="N161" s="53" t="e">
        <f>IF(Table110[[#This Row],[TOTAL MW]]&lt;165,Table110[[#This Row],[MW Proyectada (Barra B)]],Table110[[#This Row],[MW Proyectada (Barra B)]]*165/Table110[[#This Row],[TOTAL MW]])</f>
        <v>#N/A</v>
      </c>
      <c r="P161" s="90"/>
      <c r="Q161" s="90"/>
      <c r="R161" s="93"/>
      <c r="S161" s="93"/>
    </row>
    <row r="162" spans="2:19" x14ac:dyDescent="0.25">
      <c r="B162" s="91">
        <f t="shared" si="7"/>
        <v>45589.70833333295</v>
      </c>
      <c r="C162" s="52">
        <f t="shared" si="8"/>
        <v>6.7083333333333464</v>
      </c>
      <c r="D162" s="92">
        <f>Table110[[#This Row],[Fecha]]</f>
        <v>45589.70833333295</v>
      </c>
      <c r="E162" s="53" t="e">
        <f>VLOOKUP(Table110[[#This Row],[FECHA /HORA]],TBL_CalcDarwin[],7,0)</f>
        <v>#N/A</v>
      </c>
      <c r="F162" s="53" t="e">
        <f>VLOOKUP(Table110[[#This Row],[FECHA /HORA]],TBL_CalcDarwin[],42,0)</f>
        <v>#N/A</v>
      </c>
      <c r="G162" s="53" t="e">
        <f>VLOOKUP(Table110[[#This Row],[FECHA /HORA]],TBL_CalcDarwin[],43,0)</f>
        <v>#N/A</v>
      </c>
      <c r="H162" s="53" t="e">
        <f>VLOOKUP(Table110[[#This Row],[FECHA /HORA]],TBL_CalcDarwin[],40,0)</f>
        <v>#N/A</v>
      </c>
      <c r="I162" s="53" t="e">
        <f>VLOOKUP(Table110[[#This Row],[FECHA /HORA]],TBL_CalcDarwin[],41,0)</f>
        <v>#N/A</v>
      </c>
      <c r="J162" s="53" t="e">
        <f>Table110[[#This Row],[MW Proyectada (Barra A)]]+Table110[[#This Row],[MW Proyectada (Barra B)]]</f>
        <v>#N/A</v>
      </c>
      <c r="L162" s="53" t="e">
        <f t="shared" si="6"/>
        <v>#N/A</v>
      </c>
      <c r="M162" s="53" t="e">
        <f>IF(Table110[[#This Row],[TOTAL MW]]&lt;165,Table110[[#This Row],[MW Proyectada (Barra A)]],Table110[[#This Row],[MW Proyectada (Barra A)]]*165/Table110[[#This Row],[TOTAL MW]])</f>
        <v>#N/A</v>
      </c>
      <c r="N162" s="53" t="e">
        <f>IF(Table110[[#This Row],[TOTAL MW]]&lt;165,Table110[[#This Row],[MW Proyectada (Barra B)]],Table110[[#This Row],[MW Proyectada (Barra B)]]*165/Table110[[#This Row],[TOTAL MW]])</f>
        <v>#N/A</v>
      </c>
      <c r="P162" s="90"/>
      <c r="Q162" s="90"/>
      <c r="R162" s="93"/>
      <c r="S162" s="93"/>
    </row>
    <row r="163" spans="2:19" x14ac:dyDescent="0.25">
      <c r="B163" s="91">
        <f t="shared" si="7"/>
        <v>45589.749999999614</v>
      </c>
      <c r="C163" s="52">
        <f t="shared" si="8"/>
        <v>6.7500000000000133</v>
      </c>
      <c r="D163" s="92">
        <f>Table110[[#This Row],[Fecha]]</f>
        <v>45589.749999999614</v>
      </c>
      <c r="E163" s="53" t="e">
        <f>VLOOKUP(Table110[[#This Row],[FECHA /HORA]],TBL_CalcDarwin[],7,0)</f>
        <v>#N/A</v>
      </c>
      <c r="F163" s="53" t="e">
        <f>VLOOKUP(Table110[[#This Row],[FECHA /HORA]],TBL_CalcDarwin[],42,0)</f>
        <v>#N/A</v>
      </c>
      <c r="G163" s="53" t="e">
        <f>VLOOKUP(Table110[[#This Row],[FECHA /HORA]],TBL_CalcDarwin[],43,0)</f>
        <v>#N/A</v>
      </c>
      <c r="H163" s="53" t="e">
        <f>VLOOKUP(Table110[[#This Row],[FECHA /HORA]],TBL_CalcDarwin[],40,0)</f>
        <v>#N/A</v>
      </c>
      <c r="I163" s="53" t="e">
        <f>VLOOKUP(Table110[[#This Row],[FECHA /HORA]],TBL_CalcDarwin[],41,0)</f>
        <v>#N/A</v>
      </c>
      <c r="J163" s="53" t="e">
        <f>Table110[[#This Row],[MW Proyectada (Barra A)]]+Table110[[#This Row],[MW Proyectada (Barra B)]]</f>
        <v>#N/A</v>
      </c>
      <c r="L163" s="53" t="e">
        <f t="shared" si="6"/>
        <v>#N/A</v>
      </c>
      <c r="M163" s="53" t="e">
        <f>IF(Table110[[#This Row],[TOTAL MW]]&lt;165,Table110[[#This Row],[MW Proyectada (Barra A)]],Table110[[#This Row],[MW Proyectada (Barra A)]]*165/Table110[[#This Row],[TOTAL MW]])</f>
        <v>#N/A</v>
      </c>
      <c r="N163" s="53" t="e">
        <f>IF(Table110[[#This Row],[TOTAL MW]]&lt;165,Table110[[#This Row],[MW Proyectada (Barra B)]],Table110[[#This Row],[MW Proyectada (Barra B)]]*165/Table110[[#This Row],[TOTAL MW]])</f>
        <v>#N/A</v>
      </c>
      <c r="P163" s="90"/>
      <c r="Q163" s="90"/>
      <c r="R163" s="93"/>
      <c r="S163" s="93"/>
    </row>
    <row r="164" spans="2:19" x14ac:dyDescent="0.25">
      <c r="B164" s="91">
        <f t="shared" si="7"/>
        <v>45589.791666666279</v>
      </c>
      <c r="C164" s="52">
        <f t="shared" si="8"/>
        <v>6.7916666666666803</v>
      </c>
      <c r="D164" s="92">
        <f>Table110[[#This Row],[Fecha]]</f>
        <v>45589.791666666279</v>
      </c>
      <c r="E164" s="53" t="e">
        <f>VLOOKUP(Table110[[#This Row],[FECHA /HORA]],TBL_CalcDarwin[],7,0)</f>
        <v>#N/A</v>
      </c>
      <c r="F164" s="53" t="e">
        <f>VLOOKUP(Table110[[#This Row],[FECHA /HORA]],TBL_CalcDarwin[],42,0)</f>
        <v>#N/A</v>
      </c>
      <c r="G164" s="53" t="e">
        <f>VLOOKUP(Table110[[#This Row],[FECHA /HORA]],TBL_CalcDarwin[],43,0)</f>
        <v>#N/A</v>
      </c>
      <c r="H164" s="53" t="e">
        <f>VLOOKUP(Table110[[#This Row],[FECHA /HORA]],TBL_CalcDarwin[],40,0)</f>
        <v>#N/A</v>
      </c>
      <c r="I164" s="53" t="e">
        <f>VLOOKUP(Table110[[#This Row],[FECHA /HORA]],TBL_CalcDarwin[],41,0)</f>
        <v>#N/A</v>
      </c>
      <c r="J164" s="53" t="e">
        <f>Table110[[#This Row],[MW Proyectada (Barra A)]]+Table110[[#This Row],[MW Proyectada (Barra B)]]</f>
        <v>#N/A</v>
      </c>
      <c r="L164" s="53" t="e">
        <f t="shared" si="6"/>
        <v>#N/A</v>
      </c>
      <c r="M164" s="53" t="e">
        <f>IF(Table110[[#This Row],[TOTAL MW]]&lt;165,Table110[[#This Row],[MW Proyectada (Barra A)]],Table110[[#This Row],[MW Proyectada (Barra A)]]*165/Table110[[#This Row],[TOTAL MW]])</f>
        <v>#N/A</v>
      </c>
      <c r="N164" s="53" t="e">
        <f>IF(Table110[[#This Row],[TOTAL MW]]&lt;165,Table110[[#This Row],[MW Proyectada (Barra B)]],Table110[[#This Row],[MW Proyectada (Barra B)]]*165/Table110[[#This Row],[TOTAL MW]])</f>
        <v>#N/A</v>
      </c>
      <c r="P164" s="90"/>
      <c r="Q164" s="90"/>
      <c r="R164" s="93"/>
      <c r="S164" s="93"/>
    </row>
    <row r="165" spans="2:19" x14ac:dyDescent="0.25">
      <c r="B165" s="91">
        <f t="shared" si="7"/>
        <v>45589.833333332943</v>
      </c>
      <c r="C165" s="52">
        <f t="shared" si="8"/>
        <v>6.8333333333333472</v>
      </c>
      <c r="D165" s="92">
        <f>Table110[[#This Row],[Fecha]]</f>
        <v>45589.833333332943</v>
      </c>
      <c r="E165" s="53" t="e">
        <f>VLOOKUP(Table110[[#This Row],[FECHA /HORA]],TBL_CalcDarwin[],7,0)</f>
        <v>#N/A</v>
      </c>
      <c r="F165" s="53" t="e">
        <f>VLOOKUP(Table110[[#This Row],[FECHA /HORA]],TBL_CalcDarwin[],42,0)</f>
        <v>#N/A</v>
      </c>
      <c r="G165" s="53" t="e">
        <f>VLOOKUP(Table110[[#This Row],[FECHA /HORA]],TBL_CalcDarwin[],43,0)</f>
        <v>#N/A</v>
      </c>
      <c r="H165" s="53" t="e">
        <f>VLOOKUP(Table110[[#This Row],[FECHA /HORA]],TBL_CalcDarwin[],40,0)</f>
        <v>#N/A</v>
      </c>
      <c r="I165" s="53" t="e">
        <f>VLOOKUP(Table110[[#This Row],[FECHA /HORA]],TBL_CalcDarwin[],41,0)</f>
        <v>#N/A</v>
      </c>
      <c r="J165" s="53" t="e">
        <f>Table110[[#This Row],[MW Proyectada (Barra A)]]+Table110[[#This Row],[MW Proyectada (Barra B)]]</f>
        <v>#N/A</v>
      </c>
      <c r="L165" s="53" t="e">
        <f t="shared" si="6"/>
        <v>#N/A</v>
      </c>
      <c r="M165" s="53" t="e">
        <f>IF(Table110[[#This Row],[TOTAL MW]]&lt;165,Table110[[#This Row],[MW Proyectada (Barra A)]],Table110[[#This Row],[MW Proyectada (Barra A)]]*165/Table110[[#This Row],[TOTAL MW]])</f>
        <v>#N/A</v>
      </c>
      <c r="N165" s="53" t="e">
        <f>IF(Table110[[#This Row],[TOTAL MW]]&lt;165,Table110[[#This Row],[MW Proyectada (Barra B)]],Table110[[#This Row],[MW Proyectada (Barra B)]]*165/Table110[[#This Row],[TOTAL MW]])</f>
        <v>#N/A</v>
      </c>
      <c r="P165" s="90"/>
      <c r="Q165" s="90"/>
      <c r="R165" s="93"/>
      <c r="S165" s="93"/>
    </row>
    <row r="166" spans="2:19" x14ac:dyDescent="0.25">
      <c r="B166" s="91">
        <f t="shared" si="7"/>
        <v>45589.874999999607</v>
      </c>
      <c r="C166" s="52">
        <f t="shared" si="8"/>
        <v>6.8750000000000142</v>
      </c>
      <c r="D166" s="92">
        <f>Table110[[#This Row],[Fecha]]</f>
        <v>45589.874999999607</v>
      </c>
      <c r="E166" s="53" t="e">
        <f>VLOOKUP(Table110[[#This Row],[FECHA /HORA]],TBL_CalcDarwin[],7,0)</f>
        <v>#N/A</v>
      </c>
      <c r="F166" s="53" t="e">
        <f>VLOOKUP(Table110[[#This Row],[FECHA /HORA]],TBL_CalcDarwin[],42,0)</f>
        <v>#N/A</v>
      </c>
      <c r="G166" s="53" t="e">
        <f>VLOOKUP(Table110[[#This Row],[FECHA /HORA]],TBL_CalcDarwin[],43,0)</f>
        <v>#N/A</v>
      </c>
      <c r="H166" s="53" t="e">
        <f>VLOOKUP(Table110[[#This Row],[FECHA /HORA]],TBL_CalcDarwin[],40,0)</f>
        <v>#N/A</v>
      </c>
      <c r="I166" s="53" t="e">
        <f>VLOOKUP(Table110[[#This Row],[FECHA /HORA]],TBL_CalcDarwin[],41,0)</f>
        <v>#N/A</v>
      </c>
      <c r="J166" s="53" t="e">
        <f>Table110[[#This Row],[MW Proyectada (Barra A)]]+Table110[[#This Row],[MW Proyectada (Barra B)]]</f>
        <v>#N/A</v>
      </c>
      <c r="L166" s="53" t="e">
        <f t="shared" si="6"/>
        <v>#N/A</v>
      </c>
      <c r="M166" s="53" t="e">
        <f>IF(Table110[[#This Row],[TOTAL MW]]&lt;165,Table110[[#This Row],[MW Proyectada (Barra A)]],Table110[[#This Row],[MW Proyectada (Barra A)]]*165/Table110[[#This Row],[TOTAL MW]])</f>
        <v>#N/A</v>
      </c>
      <c r="N166" s="53" t="e">
        <f>IF(Table110[[#This Row],[TOTAL MW]]&lt;165,Table110[[#This Row],[MW Proyectada (Barra B)]],Table110[[#This Row],[MW Proyectada (Barra B)]]*165/Table110[[#This Row],[TOTAL MW]])</f>
        <v>#N/A</v>
      </c>
      <c r="P166" s="90"/>
      <c r="Q166" s="90"/>
      <c r="R166" s="93"/>
      <c r="S166" s="93"/>
    </row>
    <row r="167" spans="2:19" x14ac:dyDescent="0.25">
      <c r="B167" s="91">
        <f t="shared" si="7"/>
        <v>45589.916666666271</v>
      </c>
      <c r="C167" s="52">
        <f t="shared" si="8"/>
        <v>6.9166666666666812</v>
      </c>
      <c r="D167" s="92">
        <f>Table110[[#This Row],[Fecha]]</f>
        <v>45589.916666666271</v>
      </c>
      <c r="E167" s="53" t="e">
        <f>VLOOKUP(Table110[[#This Row],[FECHA /HORA]],TBL_CalcDarwin[],7,0)</f>
        <v>#N/A</v>
      </c>
      <c r="F167" s="53" t="e">
        <f>VLOOKUP(Table110[[#This Row],[FECHA /HORA]],TBL_CalcDarwin[],42,0)</f>
        <v>#N/A</v>
      </c>
      <c r="G167" s="53" t="e">
        <f>VLOOKUP(Table110[[#This Row],[FECHA /HORA]],TBL_CalcDarwin[],43,0)</f>
        <v>#N/A</v>
      </c>
      <c r="H167" s="53" t="e">
        <f>VLOOKUP(Table110[[#This Row],[FECHA /HORA]],TBL_CalcDarwin[],40,0)</f>
        <v>#N/A</v>
      </c>
      <c r="I167" s="53" t="e">
        <f>VLOOKUP(Table110[[#This Row],[FECHA /HORA]],TBL_CalcDarwin[],41,0)</f>
        <v>#N/A</v>
      </c>
      <c r="J167" s="53" t="e">
        <f>Table110[[#This Row],[MW Proyectada (Barra A)]]+Table110[[#This Row],[MW Proyectada (Barra B)]]</f>
        <v>#N/A</v>
      </c>
      <c r="L167" s="53" t="e">
        <f t="shared" si="6"/>
        <v>#N/A</v>
      </c>
      <c r="M167" s="53" t="e">
        <f>IF(Table110[[#This Row],[TOTAL MW]]&lt;165,Table110[[#This Row],[MW Proyectada (Barra A)]],Table110[[#This Row],[MW Proyectada (Barra A)]]*165/Table110[[#This Row],[TOTAL MW]])</f>
        <v>#N/A</v>
      </c>
      <c r="N167" s="53" t="e">
        <f>IF(Table110[[#This Row],[TOTAL MW]]&lt;165,Table110[[#This Row],[MW Proyectada (Barra B)]],Table110[[#This Row],[MW Proyectada (Barra B)]]*165/Table110[[#This Row],[TOTAL MW]])</f>
        <v>#N/A</v>
      </c>
      <c r="P167" s="90"/>
      <c r="Q167" s="90"/>
      <c r="R167" s="93"/>
      <c r="S167" s="93"/>
    </row>
    <row r="168" spans="2:19" x14ac:dyDescent="0.25">
      <c r="B168" s="91">
        <f t="shared" si="7"/>
        <v>45589.958333332936</v>
      </c>
      <c r="C168" s="52">
        <f t="shared" si="8"/>
        <v>6.9583333333333481</v>
      </c>
      <c r="D168" s="92">
        <f>Table110[[#This Row],[Fecha]]</f>
        <v>45589.958333332936</v>
      </c>
      <c r="E168" s="53" t="e">
        <f>VLOOKUP(Table110[[#This Row],[FECHA /HORA]],TBL_CalcDarwin[],7,0)</f>
        <v>#N/A</v>
      </c>
      <c r="F168" s="53" t="e">
        <f>VLOOKUP(Table110[[#This Row],[FECHA /HORA]],TBL_CalcDarwin[],42,0)</f>
        <v>#N/A</v>
      </c>
      <c r="G168" s="53" t="e">
        <f>VLOOKUP(Table110[[#This Row],[FECHA /HORA]],TBL_CalcDarwin[],43,0)</f>
        <v>#N/A</v>
      </c>
      <c r="H168" s="53" t="e">
        <f>VLOOKUP(Table110[[#This Row],[FECHA /HORA]],TBL_CalcDarwin[],40,0)</f>
        <v>#N/A</v>
      </c>
      <c r="I168" s="53" t="e">
        <f>VLOOKUP(Table110[[#This Row],[FECHA /HORA]],TBL_CalcDarwin[],41,0)</f>
        <v>#N/A</v>
      </c>
      <c r="J168" s="53" t="e">
        <f>Table110[[#This Row],[MW Proyectada (Barra A)]]+Table110[[#This Row],[MW Proyectada (Barra B)]]</f>
        <v>#N/A</v>
      </c>
      <c r="L168" s="53" t="e">
        <f t="shared" si="6"/>
        <v>#N/A</v>
      </c>
      <c r="M168" s="53" t="e">
        <f>IF(Table110[[#This Row],[TOTAL MW]]&lt;165,Table110[[#This Row],[MW Proyectada (Barra A)]],Table110[[#This Row],[MW Proyectada (Barra A)]]*165/Table110[[#This Row],[TOTAL MW]])</f>
        <v>#N/A</v>
      </c>
      <c r="N168" s="53" t="e">
        <f>IF(Table110[[#This Row],[TOTAL MW]]&lt;165,Table110[[#This Row],[MW Proyectada (Barra B)]],Table110[[#This Row],[MW Proyectada (Barra B)]]*165/Table110[[#This Row],[TOTAL MW]])</f>
        <v>#N/A</v>
      </c>
      <c r="P168" s="90"/>
      <c r="Q168" s="90"/>
      <c r="R168" s="93"/>
      <c r="S168" s="93"/>
    </row>
    <row r="169" spans="2:19" x14ac:dyDescent="0.25">
      <c r="B169" s="91">
        <f t="shared" si="7"/>
        <v>45589.9999999996</v>
      </c>
      <c r="C169" s="52">
        <f t="shared" si="8"/>
        <v>7.0000000000000151</v>
      </c>
      <c r="D169" s="92">
        <f>Table110[[#This Row],[Fecha]]</f>
        <v>45589.9999999996</v>
      </c>
      <c r="E169" s="53" t="e">
        <f>VLOOKUP(Table110[[#This Row],[FECHA /HORA]],TBL_CalcDarwin[],7,0)</f>
        <v>#N/A</v>
      </c>
      <c r="F169" s="53" t="e">
        <f>VLOOKUP(Table110[[#This Row],[FECHA /HORA]],TBL_CalcDarwin[],42,0)</f>
        <v>#N/A</v>
      </c>
      <c r="G169" s="53" t="e">
        <f>VLOOKUP(Table110[[#This Row],[FECHA /HORA]],TBL_CalcDarwin[],43,0)</f>
        <v>#N/A</v>
      </c>
      <c r="H169" s="53" t="e">
        <f>VLOOKUP(Table110[[#This Row],[FECHA /HORA]],TBL_CalcDarwin[],40,0)</f>
        <v>#N/A</v>
      </c>
      <c r="I169" s="53" t="e">
        <f>VLOOKUP(Table110[[#This Row],[FECHA /HORA]],TBL_CalcDarwin[],41,0)</f>
        <v>#N/A</v>
      </c>
      <c r="J169" s="53" t="e">
        <f>Table110[[#This Row],[MW Proyectada (Barra A)]]+Table110[[#This Row],[MW Proyectada (Barra B)]]</f>
        <v>#N/A</v>
      </c>
      <c r="L169" s="53" t="e">
        <f t="shared" si="6"/>
        <v>#N/A</v>
      </c>
      <c r="M169" s="53" t="e">
        <f>IF(Table110[[#This Row],[TOTAL MW]]&lt;165,Table110[[#This Row],[MW Proyectada (Barra A)]],Table110[[#This Row],[MW Proyectada (Barra A)]]*165/Table110[[#This Row],[TOTAL MW]])</f>
        <v>#N/A</v>
      </c>
      <c r="N169" s="53" t="e">
        <f>IF(Table110[[#This Row],[TOTAL MW]]&lt;165,Table110[[#This Row],[MW Proyectada (Barra B)]],Table110[[#This Row],[MW Proyectada (Barra B)]]*165/Table110[[#This Row],[TOTAL MW]])</f>
        <v>#N/A</v>
      </c>
      <c r="P169" s="90"/>
      <c r="Q169" s="90"/>
      <c r="R169" s="93"/>
      <c r="S169" s="93"/>
    </row>
    <row r="170" spans="2:19" x14ac:dyDescent="0.25">
      <c r="B170" s="91">
        <f t="shared" si="7"/>
        <v>45590.041666666264</v>
      </c>
      <c r="C170" s="52">
        <f t="shared" si="8"/>
        <v>7.0416666666666821</v>
      </c>
      <c r="D170" s="92">
        <f>Table110[[#This Row],[Fecha]]</f>
        <v>45590.041666666264</v>
      </c>
      <c r="E170" s="53" t="e">
        <f>VLOOKUP(Table110[[#This Row],[FECHA /HORA]],TBL_CalcDarwin[],7,0)</f>
        <v>#N/A</v>
      </c>
      <c r="F170" s="53" t="e">
        <f>VLOOKUP(Table110[[#This Row],[FECHA /HORA]],TBL_CalcDarwin[],42,0)</f>
        <v>#N/A</v>
      </c>
      <c r="G170" s="53" t="e">
        <f>VLOOKUP(Table110[[#This Row],[FECHA /HORA]],TBL_CalcDarwin[],43,0)</f>
        <v>#N/A</v>
      </c>
      <c r="H170" s="53" t="e">
        <f>VLOOKUP(Table110[[#This Row],[FECHA /HORA]],TBL_CalcDarwin[],40,0)</f>
        <v>#N/A</v>
      </c>
      <c r="I170" s="53" t="e">
        <f>VLOOKUP(Table110[[#This Row],[FECHA /HORA]],TBL_CalcDarwin[],41,0)</f>
        <v>#N/A</v>
      </c>
      <c r="J170" s="53" t="e">
        <f>Table110[[#This Row],[MW Proyectada (Barra A)]]+Table110[[#This Row],[MW Proyectada (Barra B)]]</f>
        <v>#N/A</v>
      </c>
      <c r="L170" s="53" t="e">
        <f t="shared" si="6"/>
        <v>#N/A</v>
      </c>
      <c r="M170" s="53" t="e">
        <f>IF(Table110[[#This Row],[TOTAL MW]]&lt;165,Table110[[#This Row],[MW Proyectada (Barra A)]],Table110[[#This Row],[MW Proyectada (Barra A)]]*165/Table110[[#This Row],[TOTAL MW]])</f>
        <v>#N/A</v>
      </c>
      <c r="N170" s="53" t="e">
        <f>IF(Table110[[#This Row],[TOTAL MW]]&lt;165,Table110[[#This Row],[MW Proyectada (Barra B)]],Table110[[#This Row],[MW Proyectada (Barra B)]]*165/Table110[[#This Row],[TOTAL MW]])</f>
        <v>#N/A</v>
      </c>
      <c r="P170" s="90"/>
      <c r="Q170" s="90"/>
      <c r="R170" s="93"/>
      <c r="S170" s="93"/>
    </row>
    <row r="171" spans="2:19" x14ac:dyDescent="0.25">
      <c r="B171" s="91">
        <f t="shared" si="7"/>
        <v>45590.083333332928</v>
      </c>
      <c r="C171" s="52">
        <f t="shared" si="8"/>
        <v>7.083333333333349</v>
      </c>
      <c r="D171" s="92">
        <f>Table110[[#This Row],[Fecha]]</f>
        <v>45590.083333332928</v>
      </c>
      <c r="E171" s="53" t="e">
        <f>VLOOKUP(Table110[[#This Row],[FECHA /HORA]],TBL_CalcDarwin[],7,0)</f>
        <v>#N/A</v>
      </c>
      <c r="F171" s="53" t="e">
        <f>VLOOKUP(Table110[[#This Row],[FECHA /HORA]],TBL_CalcDarwin[],42,0)</f>
        <v>#N/A</v>
      </c>
      <c r="G171" s="53" t="e">
        <f>VLOOKUP(Table110[[#This Row],[FECHA /HORA]],TBL_CalcDarwin[],43,0)</f>
        <v>#N/A</v>
      </c>
      <c r="H171" s="53" t="e">
        <f>VLOOKUP(Table110[[#This Row],[FECHA /HORA]],TBL_CalcDarwin[],40,0)</f>
        <v>#N/A</v>
      </c>
      <c r="I171" s="53" t="e">
        <f>VLOOKUP(Table110[[#This Row],[FECHA /HORA]],TBL_CalcDarwin[],41,0)</f>
        <v>#N/A</v>
      </c>
      <c r="J171" s="53" t="e">
        <f>Table110[[#This Row],[MW Proyectada (Barra A)]]+Table110[[#This Row],[MW Proyectada (Barra B)]]</f>
        <v>#N/A</v>
      </c>
      <c r="L171" s="53" t="e">
        <f t="shared" si="6"/>
        <v>#N/A</v>
      </c>
      <c r="M171" s="53" t="e">
        <f>IF(Table110[[#This Row],[TOTAL MW]]&lt;165,Table110[[#This Row],[MW Proyectada (Barra A)]],Table110[[#This Row],[MW Proyectada (Barra A)]]*165/Table110[[#This Row],[TOTAL MW]])</f>
        <v>#N/A</v>
      </c>
      <c r="N171" s="53" t="e">
        <f>IF(Table110[[#This Row],[TOTAL MW]]&lt;165,Table110[[#This Row],[MW Proyectada (Barra B)]],Table110[[#This Row],[MW Proyectada (Barra B)]]*165/Table110[[#This Row],[TOTAL MW]])</f>
        <v>#N/A</v>
      </c>
      <c r="P171" s="90"/>
      <c r="Q171" s="90"/>
      <c r="R171" s="93"/>
      <c r="S171" s="93"/>
    </row>
    <row r="172" spans="2:19" x14ac:dyDescent="0.25">
      <c r="B172" s="91">
        <f t="shared" si="7"/>
        <v>45590.124999999593</v>
      </c>
      <c r="C172" s="52">
        <f t="shared" si="8"/>
        <v>7.125000000000016</v>
      </c>
      <c r="D172" s="92">
        <f>Table110[[#This Row],[Fecha]]</f>
        <v>45590.124999999593</v>
      </c>
      <c r="E172" s="53" t="e">
        <f>VLOOKUP(Table110[[#This Row],[FECHA /HORA]],TBL_CalcDarwin[],7,0)</f>
        <v>#N/A</v>
      </c>
      <c r="F172" s="53" t="e">
        <f>VLOOKUP(Table110[[#This Row],[FECHA /HORA]],TBL_CalcDarwin[],42,0)</f>
        <v>#N/A</v>
      </c>
      <c r="G172" s="53" t="e">
        <f>VLOOKUP(Table110[[#This Row],[FECHA /HORA]],TBL_CalcDarwin[],43,0)</f>
        <v>#N/A</v>
      </c>
      <c r="H172" s="53" t="e">
        <f>VLOOKUP(Table110[[#This Row],[FECHA /HORA]],TBL_CalcDarwin[],40,0)</f>
        <v>#N/A</v>
      </c>
      <c r="I172" s="53" t="e">
        <f>VLOOKUP(Table110[[#This Row],[FECHA /HORA]],TBL_CalcDarwin[],41,0)</f>
        <v>#N/A</v>
      </c>
      <c r="J172" s="53" t="e">
        <f>Table110[[#This Row],[MW Proyectada (Barra A)]]+Table110[[#This Row],[MW Proyectada (Barra B)]]</f>
        <v>#N/A</v>
      </c>
      <c r="L172" s="53" t="e">
        <f t="shared" si="6"/>
        <v>#N/A</v>
      </c>
      <c r="M172" s="53" t="e">
        <f>IF(Table110[[#This Row],[TOTAL MW]]&lt;165,Table110[[#This Row],[MW Proyectada (Barra A)]],Table110[[#This Row],[MW Proyectada (Barra A)]]*165/Table110[[#This Row],[TOTAL MW]])</f>
        <v>#N/A</v>
      </c>
      <c r="N172" s="53" t="e">
        <f>IF(Table110[[#This Row],[TOTAL MW]]&lt;165,Table110[[#This Row],[MW Proyectada (Barra B)]],Table110[[#This Row],[MW Proyectada (Barra B)]]*165/Table110[[#This Row],[TOTAL MW]])</f>
        <v>#N/A</v>
      </c>
      <c r="P172" s="90"/>
      <c r="Q172" s="90"/>
      <c r="R172" s="93"/>
      <c r="S172" s="93"/>
    </row>
    <row r="173" spans="2:19" x14ac:dyDescent="0.25">
      <c r="B173" s="91">
        <f t="shared" si="7"/>
        <v>45590.166666666257</v>
      </c>
      <c r="C173" s="52">
        <f t="shared" si="8"/>
        <v>7.1666666666666829</v>
      </c>
      <c r="D173" s="92">
        <f>Table110[[#This Row],[Fecha]]</f>
        <v>45590.166666666257</v>
      </c>
      <c r="E173" s="53" t="e">
        <f>VLOOKUP(Table110[[#This Row],[FECHA /HORA]],TBL_CalcDarwin[],7,0)</f>
        <v>#N/A</v>
      </c>
      <c r="F173" s="53" t="e">
        <f>VLOOKUP(Table110[[#This Row],[FECHA /HORA]],TBL_CalcDarwin[],42,0)</f>
        <v>#N/A</v>
      </c>
      <c r="G173" s="53" t="e">
        <f>VLOOKUP(Table110[[#This Row],[FECHA /HORA]],TBL_CalcDarwin[],43,0)</f>
        <v>#N/A</v>
      </c>
      <c r="H173" s="53" t="e">
        <f>VLOOKUP(Table110[[#This Row],[FECHA /HORA]],TBL_CalcDarwin[],40,0)</f>
        <v>#N/A</v>
      </c>
      <c r="I173" s="53" t="e">
        <f>VLOOKUP(Table110[[#This Row],[FECHA /HORA]],TBL_CalcDarwin[],41,0)</f>
        <v>#N/A</v>
      </c>
      <c r="J173" s="53" t="e">
        <f>Table110[[#This Row],[MW Proyectada (Barra A)]]+Table110[[#This Row],[MW Proyectada (Barra B)]]</f>
        <v>#N/A</v>
      </c>
      <c r="L173" s="53" t="e">
        <f t="shared" si="6"/>
        <v>#N/A</v>
      </c>
      <c r="M173" s="53" t="e">
        <f>IF(Table110[[#This Row],[TOTAL MW]]&lt;165,Table110[[#This Row],[MW Proyectada (Barra A)]],Table110[[#This Row],[MW Proyectada (Barra A)]]*165/Table110[[#This Row],[TOTAL MW]])</f>
        <v>#N/A</v>
      </c>
      <c r="N173" s="53" t="e">
        <f>IF(Table110[[#This Row],[TOTAL MW]]&lt;165,Table110[[#This Row],[MW Proyectada (Barra B)]],Table110[[#This Row],[MW Proyectada (Barra B)]]*165/Table110[[#This Row],[TOTAL MW]])</f>
        <v>#N/A</v>
      </c>
      <c r="P173" s="90"/>
      <c r="Q173" s="90"/>
      <c r="R173" s="93"/>
      <c r="S173" s="93"/>
    </row>
    <row r="174" spans="2:19" x14ac:dyDescent="0.25">
      <c r="B174" s="91">
        <f t="shared" si="7"/>
        <v>45590.208333332921</v>
      </c>
      <c r="C174" s="52">
        <f t="shared" si="8"/>
        <v>7.2083333333333499</v>
      </c>
      <c r="D174" s="92">
        <f>Table110[[#This Row],[Fecha]]</f>
        <v>45590.208333332921</v>
      </c>
      <c r="E174" s="53" t="e">
        <f>VLOOKUP(Table110[[#This Row],[FECHA /HORA]],TBL_CalcDarwin[],7,0)</f>
        <v>#N/A</v>
      </c>
      <c r="F174" s="53" t="e">
        <f>VLOOKUP(Table110[[#This Row],[FECHA /HORA]],TBL_CalcDarwin[],42,0)</f>
        <v>#N/A</v>
      </c>
      <c r="G174" s="53" t="e">
        <f>VLOOKUP(Table110[[#This Row],[FECHA /HORA]],TBL_CalcDarwin[],43,0)</f>
        <v>#N/A</v>
      </c>
      <c r="H174" s="53" t="e">
        <f>VLOOKUP(Table110[[#This Row],[FECHA /HORA]],TBL_CalcDarwin[],40,0)</f>
        <v>#N/A</v>
      </c>
      <c r="I174" s="53" t="e">
        <f>VLOOKUP(Table110[[#This Row],[FECHA /HORA]],TBL_CalcDarwin[],41,0)</f>
        <v>#N/A</v>
      </c>
      <c r="J174" s="53" t="e">
        <f>Table110[[#This Row],[MW Proyectada (Barra A)]]+Table110[[#This Row],[MW Proyectada (Barra B)]]</f>
        <v>#N/A</v>
      </c>
      <c r="L174" s="53" t="e">
        <f t="shared" si="6"/>
        <v>#N/A</v>
      </c>
      <c r="M174" s="53" t="e">
        <f>IF(Table110[[#This Row],[TOTAL MW]]&lt;165,Table110[[#This Row],[MW Proyectada (Barra A)]],Table110[[#This Row],[MW Proyectada (Barra A)]]*165/Table110[[#This Row],[TOTAL MW]])</f>
        <v>#N/A</v>
      </c>
      <c r="N174" s="53" t="e">
        <f>IF(Table110[[#This Row],[TOTAL MW]]&lt;165,Table110[[#This Row],[MW Proyectada (Barra B)]],Table110[[#This Row],[MW Proyectada (Barra B)]]*165/Table110[[#This Row],[TOTAL MW]])</f>
        <v>#N/A</v>
      </c>
      <c r="P174" s="90"/>
      <c r="Q174" s="90"/>
      <c r="R174" s="93"/>
      <c r="S174" s="93"/>
    </row>
    <row r="175" spans="2:19" x14ac:dyDescent="0.25">
      <c r="B175" s="91">
        <f t="shared" si="7"/>
        <v>45590.249999999585</v>
      </c>
      <c r="C175" s="52">
        <f t="shared" si="8"/>
        <v>7.2500000000000169</v>
      </c>
      <c r="D175" s="92">
        <f>Table110[[#This Row],[Fecha]]</f>
        <v>45590.249999999585</v>
      </c>
      <c r="E175" s="53" t="e">
        <f>VLOOKUP(Table110[[#This Row],[FECHA /HORA]],TBL_CalcDarwin[],7,0)</f>
        <v>#N/A</v>
      </c>
      <c r="F175" s="53" t="e">
        <f>VLOOKUP(Table110[[#This Row],[FECHA /HORA]],TBL_CalcDarwin[],42,0)</f>
        <v>#N/A</v>
      </c>
      <c r="G175" s="53" t="e">
        <f>VLOOKUP(Table110[[#This Row],[FECHA /HORA]],TBL_CalcDarwin[],43,0)</f>
        <v>#N/A</v>
      </c>
      <c r="H175" s="53" t="e">
        <f>VLOOKUP(Table110[[#This Row],[FECHA /HORA]],TBL_CalcDarwin[],40,0)</f>
        <v>#N/A</v>
      </c>
      <c r="I175" s="53" t="e">
        <f>VLOOKUP(Table110[[#This Row],[FECHA /HORA]],TBL_CalcDarwin[],41,0)</f>
        <v>#N/A</v>
      </c>
      <c r="J175" s="53" t="e">
        <f>Table110[[#This Row],[MW Proyectada (Barra A)]]+Table110[[#This Row],[MW Proyectada (Barra B)]]</f>
        <v>#N/A</v>
      </c>
      <c r="L175" s="53" t="e">
        <f t="shared" si="6"/>
        <v>#N/A</v>
      </c>
      <c r="M175" s="53" t="e">
        <f>IF(Table110[[#This Row],[TOTAL MW]]&lt;165,Table110[[#This Row],[MW Proyectada (Barra A)]],Table110[[#This Row],[MW Proyectada (Barra A)]]*165/Table110[[#This Row],[TOTAL MW]])</f>
        <v>#N/A</v>
      </c>
      <c r="N175" s="53" t="e">
        <f>IF(Table110[[#This Row],[TOTAL MW]]&lt;165,Table110[[#This Row],[MW Proyectada (Barra B)]],Table110[[#This Row],[MW Proyectada (Barra B)]]*165/Table110[[#This Row],[TOTAL MW]])</f>
        <v>#N/A</v>
      </c>
      <c r="P175" s="90"/>
      <c r="Q175" s="90"/>
      <c r="R175" s="93"/>
      <c r="S175" s="93"/>
    </row>
    <row r="176" spans="2:19" x14ac:dyDescent="0.25">
      <c r="B176" s="91">
        <f t="shared" si="7"/>
        <v>45590.29166666625</v>
      </c>
      <c r="C176" s="52">
        <f t="shared" si="8"/>
        <v>7.2916666666666838</v>
      </c>
      <c r="D176" s="92">
        <f>Table110[[#This Row],[Fecha]]</f>
        <v>45590.29166666625</v>
      </c>
      <c r="E176" s="53" t="e">
        <f>VLOOKUP(Table110[[#This Row],[FECHA /HORA]],TBL_CalcDarwin[],7,0)</f>
        <v>#N/A</v>
      </c>
      <c r="F176" s="53" t="e">
        <f>VLOOKUP(Table110[[#This Row],[FECHA /HORA]],TBL_CalcDarwin[],42,0)</f>
        <v>#N/A</v>
      </c>
      <c r="G176" s="53" t="e">
        <f>VLOOKUP(Table110[[#This Row],[FECHA /HORA]],TBL_CalcDarwin[],43,0)</f>
        <v>#N/A</v>
      </c>
      <c r="H176" s="53" t="e">
        <f>VLOOKUP(Table110[[#This Row],[FECHA /HORA]],TBL_CalcDarwin[],40,0)</f>
        <v>#N/A</v>
      </c>
      <c r="I176" s="53" t="e">
        <f>VLOOKUP(Table110[[#This Row],[FECHA /HORA]],TBL_CalcDarwin[],41,0)</f>
        <v>#N/A</v>
      </c>
      <c r="J176" s="53" t="e">
        <f>Table110[[#This Row],[MW Proyectada (Barra A)]]+Table110[[#This Row],[MW Proyectada (Barra B)]]</f>
        <v>#N/A</v>
      </c>
      <c r="L176" s="53" t="e">
        <f t="shared" si="6"/>
        <v>#N/A</v>
      </c>
      <c r="M176" s="53" t="e">
        <f>IF(Table110[[#This Row],[TOTAL MW]]&lt;165,Table110[[#This Row],[MW Proyectada (Barra A)]],Table110[[#This Row],[MW Proyectada (Barra A)]]*165/Table110[[#This Row],[TOTAL MW]])</f>
        <v>#N/A</v>
      </c>
      <c r="N176" s="53" t="e">
        <f>IF(Table110[[#This Row],[TOTAL MW]]&lt;165,Table110[[#This Row],[MW Proyectada (Barra B)]],Table110[[#This Row],[MW Proyectada (Barra B)]]*165/Table110[[#This Row],[TOTAL MW]])</f>
        <v>#N/A</v>
      </c>
      <c r="P176" s="90"/>
      <c r="Q176" s="90"/>
      <c r="R176" s="93"/>
      <c r="S176" s="93"/>
    </row>
    <row r="177" spans="2:19" x14ac:dyDescent="0.25">
      <c r="B177" s="91">
        <f t="shared" si="7"/>
        <v>45590.333333332914</v>
      </c>
      <c r="C177" s="52">
        <f t="shared" si="8"/>
        <v>7.3333333333333508</v>
      </c>
      <c r="D177" s="92">
        <f>Table110[[#This Row],[Fecha]]</f>
        <v>45590.333333332914</v>
      </c>
      <c r="E177" s="53" t="e">
        <f>VLOOKUP(Table110[[#This Row],[FECHA /HORA]],TBL_CalcDarwin[],7,0)</f>
        <v>#N/A</v>
      </c>
      <c r="F177" s="53" t="e">
        <f>VLOOKUP(Table110[[#This Row],[FECHA /HORA]],TBL_CalcDarwin[],42,0)</f>
        <v>#N/A</v>
      </c>
      <c r="G177" s="53" t="e">
        <f>VLOOKUP(Table110[[#This Row],[FECHA /HORA]],TBL_CalcDarwin[],43,0)</f>
        <v>#N/A</v>
      </c>
      <c r="H177" s="53" t="e">
        <f>VLOOKUP(Table110[[#This Row],[FECHA /HORA]],TBL_CalcDarwin[],40,0)</f>
        <v>#N/A</v>
      </c>
      <c r="I177" s="53" t="e">
        <f>VLOOKUP(Table110[[#This Row],[FECHA /HORA]],TBL_CalcDarwin[],41,0)</f>
        <v>#N/A</v>
      </c>
      <c r="J177" s="53" t="e">
        <f>Table110[[#This Row],[MW Proyectada (Barra A)]]+Table110[[#This Row],[MW Proyectada (Barra B)]]</f>
        <v>#N/A</v>
      </c>
      <c r="L177" s="53" t="e">
        <f t="shared" si="6"/>
        <v>#N/A</v>
      </c>
      <c r="M177" s="53" t="e">
        <f>IF(Table110[[#This Row],[TOTAL MW]]&lt;165,Table110[[#This Row],[MW Proyectada (Barra A)]],Table110[[#This Row],[MW Proyectada (Barra A)]]*165/Table110[[#This Row],[TOTAL MW]])</f>
        <v>#N/A</v>
      </c>
      <c r="N177" s="53" t="e">
        <f>IF(Table110[[#This Row],[TOTAL MW]]&lt;165,Table110[[#This Row],[MW Proyectada (Barra B)]],Table110[[#This Row],[MW Proyectada (Barra B)]]*165/Table110[[#This Row],[TOTAL MW]])</f>
        <v>#N/A</v>
      </c>
      <c r="P177" s="90"/>
      <c r="Q177" s="90"/>
      <c r="R177" s="93"/>
      <c r="S177" s="93"/>
    </row>
    <row r="178" spans="2:19" x14ac:dyDescent="0.25">
      <c r="B178" s="91">
        <f t="shared" si="7"/>
        <v>45590.374999999578</v>
      </c>
      <c r="C178" s="52">
        <f t="shared" si="8"/>
        <v>7.3750000000000178</v>
      </c>
      <c r="D178" s="92">
        <f>Table110[[#This Row],[Fecha]]</f>
        <v>45590.374999999578</v>
      </c>
      <c r="E178" s="53" t="e">
        <f>VLOOKUP(Table110[[#This Row],[FECHA /HORA]],TBL_CalcDarwin[],7,0)</f>
        <v>#N/A</v>
      </c>
      <c r="F178" s="53" t="e">
        <f>VLOOKUP(Table110[[#This Row],[FECHA /HORA]],TBL_CalcDarwin[],42,0)</f>
        <v>#N/A</v>
      </c>
      <c r="G178" s="53" t="e">
        <f>VLOOKUP(Table110[[#This Row],[FECHA /HORA]],TBL_CalcDarwin[],43,0)</f>
        <v>#N/A</v>
      </c>
      <c r="H178" s="53" t="e">
        <f>VLOOKUP(Table110[[#This Row],[FECHA /HORA]],TBL_CalcDarwin[],40,0)</f>
        <v>#N/A</v>
      </c>
      <c r="I178" s="53" t="e">
        <f>VLOOKUP(Table110[[#This Row],[FECHA /HORA]],TBL_CalcDarwin[],41,0)</f>
        <v>#N/A</v>
      </c>
      <c r="J178" s="53" t="e">
        <f>Table110[[#This Row],[MW Proyectada (Barra A)]]+Table110[[#This Row],[MW Proyectada (Barra B)]]</f>
        <v>#N/A</v>
      </c>
      <c r="L178" s="53" t="e">
        <f t="shared" si="6"/>
        <v>#N/A</v>
      </c>
      <c r="M178" s="53" t="e">
        <f>IF(Table110[[#This Row],[TOTAL MW]]&lt;165,Table110[[#This Row],[MW Proyectada (Barra A)]],Table110[[#This Row],[MW Proyectada (Barra A)]]*165/Table110[[#This Row],[TOTAL MW]])</f>
        <v>#N/A</v>
      </c>
      <c r="N178" s="53" t="e">
        <f>IF(Table110[[#This Row],[TOTAL MW]]&lt;165,Table110[[#This Row],[MW Proyectada (Barra B)]],Table110[[#This Row],[MW Proyectada (Barra B)]]*165/Table110[[#This Row],[TOTAL MW]])</f>
        <v>#N/A</v>
      </c>
      <c r="P178" s="90"/>
      <c r="Q178" s="90"/>
      <c r="R178" s="93"/>
      <c r="S178" s="93"/>
    </row>
    <row r="179" spans="2:19" x14ac:dyDescent="0.25">
      <c r="B179" s="91">
        <f t="shared" si="7"/>
        <v>45590.416666666242</v>
      </c>
      <c r="C179" s="52">
        <f t="shared" si="8"/>
        <v>7.4166666666666847</v>
      </c>
      <c r="D179" s="92">
        <f>Table110[[#This Row],[Fecha]]</f>
        <v>45590.416666666242</v>
      </c>
      <c r="E179" s="53" t="e">
        <f>VLOOKUP(Table110[[#This Row],[FECHA /HORA]],TBL_CalcDarwin[],7,0)</f>
        <v>#N/A</v>
      </c>
      <c r="F179" s="53" t="e">
        <f>VLOOKUP(Table110[[#This Row],[FECHA /HORA]],TBL_CalcDarwin[],42,0)</f>
        <v>#N/A</v>
      </c>
      <c r="G179" s="53" t="e">
        <f>VLOOKUP(Table110[[#This Row],[FECHA /HORA]],TBL_CalcDarwin[],43,0)</f>
        <v>#N/A</v>
      </c>
      <c r="H179" s="53" t="e">
        <f>VLOOKUP(Table110[[#This Row],[FECHA /HORA]],TBL_CalcDarwin[],40,0)</f>
        <v>#N/A</v>
      </c>
      <c r="I179" s="53" t="e">
        <f>VLOOKUP(Table110[[#This Row],[FECHA /HORA]],TBL_CalcDarwin[],41,0)</f>
        <v>#N/A</v>
      </c>
      <c r="J179" s="53" t="e">
        <f>Table110[[#This Row],[MW Proyectada (Barra A)]]+Table110[[#This Row],[MW Proyectada (Barra B)]]</f>
        <v>#N/A</v>
      </c>
      <c r="L179" s="53" t="e">
        <f t="shared" si="6"/>
        <v>#N/A</v>
      </c>
      <c r="M179" s="53" t="e">
        <f>IF(Table110[[#This Row],[TOTAL MW]]&lt;165,Table110[[#This Row],[MW Proyectada (Barra A)]],Table110[[#This Row],[MW Proyectada (Barra A)]]*165/Table110[[#This Row],[TOTAL MW]])</f>
        <v>#N/A</v>
      </c>
      <c r="N179" s="53" t="e">
        <f>IF(Table110[[#This Row],[TOTAL MW]]&lt;165,Table110[[#This Row],[MW Proyectada (Barra B)]],Table110[[#This Row],[MW Proyectada (Barra B)]]*165/Table110[[#This Row],[TOTAL MW]])</f>
        <v>#N/A</v>
      </c>
      <c r="P179" s="90"/>
      <c r="Q179" s="90"/>
      <c r="R179" s="93"/>
      <c r="S179" s="93"/>
    </row>
    <row r="180" spans="2:19" x14ac:dyDescent="0.25">
      <c r="B180" s="91">
        <f t="shared" si="7"/>
        <v>45590.458333332906</v>
      </c>
      <c r="C180" s="52">
        <f t="shared" si="8"/>
        <v>7.4583333333333517</v>
      </c>
      <c r="D180" s="92">
        <f>Table110[[#This Row],[Fecha]]</f>
        <v>45590.458333332906</v>
      </c>
      <c r="E180" s="53" t="e">
        <f>VLOOKUP(Table110[[#This Row],[FECHA /HORA]],TBL_CalcDarwin[],7,0)</f>
        <v>#N/A</v>
      </c>
      <c r="F180" s="53" t="e">
        <f>VLOOKUP(Table110[[#This Row],[FECHA /HORA]],TBL_CalcDarwin[],42,0)</f>
        <v>#N/A</v>
      </c>
      <c r="G180" s="53" t="e">
        <f>VLOOKUP(Table110[[#This Row],[FECHA /HORA]],TBL_CalcDarwin[],43,0)</f>
        <v>#N/A</v>
      </c>
      <c r="H180" s="53" t="e">
        <f>VLOOKUP(Table110[[#This Row],[FECHA /HORA]],TBL_CalcDarwin[],40,0)</f>
        <v>#N/A</v>
      </c>
      <c r="I180" s="53" t="e">
        <f>VLOOKUP(Table110[[#This Row],[FECHA /HORA]],TBL_CalcDarwin[],41,0)</f>
        <v>#N/A</v>
      </c>
      <c r="J180" s="53" t="e">
        <f>Table110[[#This Row],[MW Proyectada (Barra A)]]+Table110[[#This Row],[MW Proyectada (Barra B)]]</f>
        <v>#N/A</v>
      </c>
      <c r="L180" s="53" t="e">
        <f t="shared" si="6"/>
        <v>#N/A</v>
      </c>
      <c r="M180" s="53" t="e">
        <f>IF(Table110[[#This Row],[TOTAL MW]]&lt;165,Table110[[#This Row],[MW Proyectada (Barra A)]],Table110[[#This Row],[MW Proyectada (Barra A)]]*165/Table110[[#This Row],[TOTAL MW]])</f>
        <v>#N/A</v>
      </c>
      <c r="N180" s="53" t="e">
        <f>IF(Table110[[#This Row],[TOTAL MW]]&lt;165,Table110[[#This Row],[MW Proyectada (Barra B)]],Table110[[#This Row],[MW Proyectada (Barra B)]]*165/Table110[[#This Row],[TOTAL MW]])</f>
        <v>#N/A</v>
      </c>
      <c r="P180" s="90"/>
      <c r="Q180" s="90"/>
      <c r="R180" s="93"/>
      <c r="S180" s="93"/>
    </row>
    <row r="181" spans="2:19" x14ac:dyDescent="0.25">
      <c r="B181" s="91">
        <f t="shared" si="7"/>
        <v>45590.499999999571</v>
      </c>
      <c r="C181" s="52">
        <f t="shared" si="8"/>
        <v>7.5000000000000187</v>
      </c>
      <c r="D181" s="92">
        <f>Table110[[#This Row],[Fecha]]</f>
        <v>45590.499999999571</v>
      </c>
      <c r="E181" s="53" t="e">
        <f>VLOOKUP(Table110[[#This Row],[FECHA /HORA]],TBL_CalcDarwin[],7,0)</f>
        <v>#N/A</v>
      </c>
      <c r="F181" s="53" t="e">
        <f>VLOOKUP(Table110[[#This Row],[FECHA /HORA]],TBL_CalcDarwin[],42,0)</f>
        <v>#N/A</v>
      </c>
      <c r="G181" s="53" t="e">
        <f>VLOOKUP(Table110[[#This Row],[FECHA /HORA]],TBL_CalcDarwin[],43,0)</f>
        <v>#N/A</v>
      </c>
      <c r="H181" s="53" t="e">
        <f>VLOOKUP(Table110[[#This Row],[FECHA /HORA]],TBL_CalcDarwin[],40,0)</f>
        <v>#N/A</v>
      </c>
      <c r="I181" s="53" t="e">
        <f>VLOOKUP(Table110[[#This Row],[FECHA /HORA]],TBL_CalcDarwin[],41,0)</f>
        <v>#N/A</v>
      </c>
      <c r="J181" s="53" t="e">
        <f>Table110[[#This Row],[MW Proyectada (Barra A)]]+Table110[[#This Row],[MW Proyectada (Barra B)]]</f>
        <v>#N/A</v>
      </c>
      <c r="L181" s="53" t="e">
        <f t="shared" si="6"/>
        <v>#N/A</v>
      </c>
      <c r="M181" s="53" t="e">
        <f>IF(Table110[[#This Row],[TOTAL MW]]&lt;165,Table110[[#This Row],[MW Proyectada (Barra A)]],Table110[[#This Row],[MW Proyectada (Barra A)]]*165/Table110[[#This Row],[TOTAL MW]])</f>
        <v>#N/A</v>
      </c>
      <c r="N181" s="53" t="e">
        <f>IF(Table110[[#This Row],[TOTAL MW]]&lt;165,Table110[[#This Row],[MW Proyectada (Barra B)]],Table110[[#This Row],[MW Proyectada (Barra B)]]*165/Table110[[#This Row],[TOTAL MW]])</f>
        <v>#N/A</v>
      </c>
      <c r="P181" s="90"/>
      <c r="Q181" s="90"/>
      <c r="R181" s="93"/>
      <c r="S181" s="93"/>
    </row>
    <row r="182" spans="2:19" x14ac:dyDescent="0.25">
      <c r="B182" s="91">
        <f t="shared" si="7"/>
        <v>45590.541666666235</v>
      </c>
      <c r="C182" s="52">
        <f t="shared" si="8"/>
        <v>7.5416666666666856</v>
      </c>
      <c r="D182" s="92">
        <f>Table110[[#This Row],[Fecha]]</f>
        <v>45590.541666666235</v>
      </c>
      <c r="E182" s="53" t="e">
        <f>VLOOKUP(Table110[[#This Row],[FECHA /HORA]],TBL_CalcDarwin[],7,0)</f>
        <v>#N/A</v>
      </c>
      <c r="F182" s="53" t="e">
        <f>VLOOKUP(Table110[[#This Row],[FECHA /HORA]],TBL_CalcDarwin[],42,0)</f>
        <v>#N/A</v>
      </c>
      <c r="G182" s="53" t="e">
        <f>VLOOKUP(Table110[[#This Row],[FECHA /HORA]],TBL_CalcDarwin[],43,0)</f>
        <v>#N/A</v>
      </c>
      <c r="H182" s="53" t="e">
        <f>VLOOKUP(Table110[[#This Row],[FECHA /HORA]],TBL_CalcDarwin[],40,0)</f>
        <v>#N/A</v>
      </c>
      <c r="I182" s="53" t="e">
        <f>VLOOKUP(Table110[[#This Row],[FECHA /HORA]],TBL_CalcDarwin[],41,0)</f>
        <v>#N/A</v>
      </c>
      <c r="J182" s="53" t="e">
        <f>Table110[[#This Row],[MW Proyectada (Barra A)]]+Table110[[#This Row],[MW Proyectada (Barra B)]]</f>
        <v>#N/A</v>
      </c>
      <c r="L182" s="53" t="e">
        <f t="shared" si="6"/>
        <v>#N/A</v>
      </c>
      <c r="M182" s="53" t="e">
        <f>IF(Table110[[#This Row],[TOTAL MW]]&lt;165,Table110[[#This Row],[MW Proyectada (Barra A)]],Table110[[#This Row],[MW Proyectada (Barra A)]]*165/Table110[[#This Row],[TOTAL MW]])</f>
        <v>#N/A</v>
      </c>
      <c r="N182" s="53" t="e">
        <f>IF(Table110[[#This Row],[TOTAL MW]]&lt;165,Table110[[#This Row],[MW Proyectada (Barra B)]],Table110[[#This Row],[MW Proyectada (Barra B)]]*165/Table110[[#This Row],[TOTAL MW]])</f>
        <v>#N/A</v>
      </c>
      <c r="P182" s="90"/>
      <c r="Q182" s="90"/>
      <c r="R182" s="93"/>
      <c r="S182" s="93"/>
    </row>
    <row r="183" spans="2:19" x14ac:dyDescent="0.25">
      <c r="B183" s="91">
        <f t="shared" si="7"/>
        <v>45590.583333332899</v>
      </c>
      <c r="C183" s="52">
        <f t="shared" si="8"/>
        <v>7.5833333333333526</v>
      </c>
      <c r="D183" s="92">
        <f>Table110[[#This Row],[Fecha]]</f>
        <v>45590.583333332899</v>
      </c>
      <c r="E183" s="53" t="e">
        <f>VLOOKUP(Table110[[#This Row],[FECHA /HORA]],TBL_CalcDarwin[],7,0)</f>
        <v>#N/A</v>
      </c>
      <c r="F183" s="53" t="e">
        <f>VLOOKUP(Table110[[#This Row],[FECHA /HORA]],TBL_CalcDarwin[],42,0)</f>
        <v>#N/A</v>
      </c>
      <c r="G183" s="53" t="e">
        <f>VLOOKUP(Table110[[#This Row],[FECHA /HORA]],TBL_CalcDarwin[],43,0)</f>
        <v>#N/A</v>
      </c>
      <c r="H183" s="53" t="e">
        <f>VLOOKUP(Table110[[#This Row],[FECHA /HORA]],TBL_CalcDarwin[],40,0)</f>
        <v>#N/A</v>
      </c>
      <c r="I183" s="53" t="e">
        <f>VLOOKUP(Table110[[#This Row],[FECHA /HORA]],TBL_CalcDarwin[],41,0)</f>
        <v>#N/A</v>
      </c>
      <c r="J183" s="53" t="e">
        <f>Table110[[#This Row],[MW Proyectada (Barra A)]]+Table110[[#This Row],[MW Proyectada (Barra B)]]</f>
        <v>#N/A</v>
      </c>
      <c r="L183" s="53" t="e">
        <f t="shared" si="6"/>
        <v>#N/A</v>
      </c>
      <c r="M183" s="53" t="e">
        <f>IF(Table110[[#This Row],[TOTAL MW]]&lt;165,Table110[[#This Row],[MW Proyectada (Barra A)]],Table110[[#This Row],[MW Proyectada (Barra A)]]*165/Table110[[#This Row],[TOTAL MW]])</f>
        <v>#N/A</v>
      </c>
      <c r="N183" s="53" t="e">
        <f>IF(Table110[[#This Row],[TOTAL MW]]&lt;165,Table110[[#This Row],[MW Proyectada (Barra B)]],Table110[[#This Row],[MW Proyectada (Barra B)]]*165/Table110[[#This Row],[TOTAL MW]])</f>
        <v>#N/A</v>
      </c>
      <c r="P183" s="90"/>
      <c r="Q183" s="90"/>
      <c r="R183" s="93"/>
      <c r="S183" s="93"/>
    </row>
    <row r="184" spans="2:19" x14ac:dyDescent="0.25">
      <c r="B184" s="91">
        <f t="shared" si="7"/>
        <v>45590.624999999563</v>
      </c>
      <c r="C184" s="52">
        <f t="shared" si="8"/>
        <v>7.6250000000000195</v>
      </c>
      <c r="D184" s="92">
        <f>Table110[[#This Row],[Fecha]]</f>
        <v>45590.624999999563</v>
      </c>
      <c r="E184" s="53" t="e">
        <f>VLOOKUP(Table110[[#This Row],[FECHA /HORA]],TBL_CalcDarwin[],7,0)</f>
        <v>#N/A</v>
      </c>
      <c r="F184" s="53" t="e">
        <f>VLOOKUP(Table110[[#This Row],[FECHA /HORA]],TBL_CalcDarwin[],42,0)</f>
        <v>#N/A</v>
      </c>
      <c r="G184" s="53" t="e">
        <f>VLOOKUP(Table110[[#This Row],[FECHA /HORA]],TBL_CalcDarwin[],43,0)</f>
        <v>#N/A</v>
      </c>
      <c r="H184" s="53" t="e">
        <f>VLOOKUP(Table110[[#This Row],[FECHA /HORA]],TBL_CalcDarwin[],40,0)</f>
        <v>#N/A</v>
      </c>
      <c r="I184" s="53" t="e">
        <f>VLOOKUP(Table110[[#This Row],[FECHA /HORA]],TBL_CalcDarwin[],41,0)</f>
        <v>#N/A</v>
      </c>
      <c r="J184" s="53" t="e">
        <f>Table110[[#This Row],[MW Proyectada (Barra A)]]+Table110[[#This Row],[MW Proyectada (Barra B)]]</f>
        <v>#N/A</v>
      </c>
      <c r="L184" s="53" t="e">
        <f t="shared" si="6"/>
        <v>#N/A</v>
      </c>
      <c r="M184" s="53" t="e">
        <f>IF(Table110[[#This Row],[TOTAL MW]]&lt;165,Table110[[#This Row],[MW Proyectada (Barra A)]],Table110[[#This Row],[MW Proyectada (Barra A)]]*165/Table110[[#This Row],[TOTAL MW]])</f>
        <v>#N/A</v>
      </c>
      <c r="N184" s="53" t="e">
        <f>IF(Table110[[#This Row],[TOTAL MW]]&lt;165,Table110[[#This Row],[MW Proyectada (Barra B)]],Table110[[#This Row],[MW Proyectada (Barra B)]]*165/Table110[[#This Row],[TOTAL MW]])</f>
        <v>#N/A</v>
      </c>
      <c r="P184" s="90"/>
      <c r="Q184" s="90"/>
      <c r="R184" s="93"/>
      <c r="S184" s="93"/>
    </row>
    <row r="185" spans="2:19" x14ac:dyDescent="0.25">
      <c r="B185" s="91">
        <f t="shared" si="7"/>
        <v>45590.666666666228</v>
      </c>
      <c r="C185" s="52">
        <f t="shared" si="8"/>
        <v>7.6666666666666865</v>
      </c>
      <c r="D185" s="92">
        <f>Table110[[#This Row],[Fecha]]</f>
        <v>45590.666666666228</v>
      </c>
      <c r="E185" s="53" t="e">
        <f>VLOOKUP(Table110[[#This Row],[FECHA /HORA]],TBL_CalcDarwin[],7,0)</f>
        <v>#N/A</v>
      </c>
      <c r="F185" s="53" t="e">
        <f>VLOOKUP(Table110[[#This Row],[FECHA /HORA]],TBL_CalcDarwin[],42,0)</f>
        <v>#N/A</v>
      </c>
      <c r="G185" s="53" t="e">
        <f>VLOOKUP(Table110[[#This Row],[FECHA /HORA]],TBL_CalcDarwin[],43,0)</f>
        <v>#N/A</v>
      </c>
      <c r="H185" s="53" t="e">
        <f>VLOOKUP(Table110[[#This Row],[FECHA /HORA]],TBL_CalcDarwin[],40,0)</f>
        <v>#N/A</v>
      </c>
      <c r="I185" s="53" t="e">
        <f>VLOOKUP(Table110[[#This Row],[FECHA /HORA]],TBL_CalcDarwin[],41,0)</f>
        <v>#N/A</v>
      </c>
      <c r="J185" s="53" t="e">
        <f>Table110[[#This Row],[MW Proyectada (Barra A)]]+Table110[[#This Row],[MW Proyectada (Barra B)]]</f>
        <v>#N/A</v>
      </c>
      <c r="L185" s="53" t="e">
        <f t="shared" si="6"/>
        <v>#N/A</v>
      </c>
      <c r="M185" s="53" t="e">
        <f>IF(Table110[[#This Row],[TOTAL MW]]&lt;165,Table110[[#This Row],[MW Proyectada (Barra A)]],Table110[[#This Row],[MW Proyectada (Barra A)]]*165/Table110[[#This Row],[TOTAL MW]])</f>
        <v>#N/A</v>
      </c>
      <c r="N185" s="53" t="e">
        <f>IF(Table110[[#This Row],[TOTAL MW]]&lt;165,Table110[[#This Row],[MW Proyectada (Barra B)]],Table110[[#This Row],[MW Proyectada (Barra B)]]*165/Table110[[#This Row],[TOTAL MW]])</f>
        <v>#N/A</v>
      </c>
      <c r="P185" s="90"/>
      <c r="Q185" s="90"/>
      <c r="R185" s="93"/>
      <c r="S185" s="93"/>
    </row>
    <row r="186" spans="2:19" x14ac:dyDescent="0.25">
      <c r="B186" s="91">
        <f t="shared" si="7"/>
        <v>45590.708333332892</v>
      </c>
      <c r="C186" s="52">
        <f t="shared" si="8"/>
        <v>7.7083333333333535</v>
      </c>
      <c r="D186" s="92">
        <f>Table110[[#This Row],[Fecha]]</f>
        <v>45590.708333332892</v>
      </c>
      <c r="E186" s="53" t="e">
        <f>VLOOKUP(Table110[[#This Row],[FECHA /HORA]],TBL_CalcDarwin[],7,0)</f>
        <v>#N/A</v>
      </c>
      <c r="F186" s="53" t="e">
        <f>VLOOKUP(Table110[[#This Row],[FECHA /HORA]],TBL_CalcDarwin[],42,0)</f>
        <v>#N/A</v>
      </c>
      <c r="G186" s="53" t="e">
        <f>VLOOKUP(Table110[[#This Row],[FECHA /HORA]],TBL_CalcDarwin[],43,0)</f>
        <v>#N/A</v>
      </c>
      <c r="H186" s="53" t="e">
        <f>VLOOKUP(Table110[[#This Row],[FECHA /HORA]],TBL_CalcDarwin[],40,0)</f>
        <v>#N/A</v>
      </c>
      <c r="I186" s="53" t="e">
        <f>VLOOKUP(Table110[[#This Row],[FECHA /HORA]],TBL_CalcDarwin[],41,0)</f>
        <v>#N/A</v>
      </c>
      <c r="J186" s="53" t="e">
        <f>Table110[[#This Row],[MW Proyectada (Barra A)]]+Table110[[#This Row],[MW Proyectada (Barra B)]]</f>
        <v>#N/A</v>
      </c>
      <c r="L186" s="53" t="e">
        <f t="shared" si="6"/>
        <v>#N/A</v>
      </c>
      <c r="M186" s="53" t="e">
        <f>IF(Table110[[#This Row],[TOTAL MW]]&lt;165,Table110[[#This Row],[MW Proyectada (Barra A)]],Table110[[#This Row],[MW Proyectada (Barra A)]]*165/Table110[[#This Row],[TOTAL MW]])</f>
        <v>#N/A</v>
      </c>
      <c r="N186" s="53" t="e">
        <f>IF(Table110[[#This Row],[TOTAL MW]]&lt;165,Table110[[#This Row],[MW Proyectada (Barra B)]],Table110[[#This Row],[MW Proyectada (Barra B)]]*165/Table110[[#This Row],[TOTAL MW]])</f>
        <v>#N/A</v>
      </c>
      <c r="P186" s="90"/>
      <c r="Q186" s="90"/>
      <c r="R186" s="93"/>
      <c r="S186" s="93"/>
    </row>
    <row r="187" spans="2:19" x14ac:dyDescent="0.25">
      <c r="B187" s="91">
        <f t="shared" si="7"/>
        <v>45590.749999999556</v>
      </c>
      <c r="C187" s="52">
        <f t="shared" si="8"/>
        <v>7.7500000000000204</v>
      </c>
      <c r="D187" s="92">
        <f>Table110[[#This Row],[Fecha]]</f>
        <v>45590.749999999556</v>
      </c>
      <c r="E187" s="53" t="e">
        <f>VLOOKUP(Table110[[#This Row],[FECHA /HORA]],TBL_CalcDarwin[],7,0)</f>
        <v>#N/A</v>
      </c>
      <c r="F187" s="53" t="e">
        <f>VLOOKUP(Table110[[#This Row],[FECHA /HORA]],TBL_CalcDarwin[],42,0)</f>
        <v>#N/A</v>
      </c>
      <c r="G187" s="53" t="e">
        <f>VLOOKUP(Table110[[#This Row],[FECHA /HORA]],TBL_CalcDarwin[],43,0)</f>
        <v>#N/A</v>
      </c>
      <c r="H187" s="53" t="e">
        <f>VLOOKUP(Table110[[#This Row],[FECHA /HORA]],TBL_CalcDarwin[],40,0)</f>
        <v>#N/A</v>
      </c>
      <c r="I187" s="53" t="e">
        <f>VLOOKUP(Table110[[#This Row],[FECHA /HORA]],TBL_CalcDarwin[],41,0)</f>
        <v>#N/A</v>
      </c>
      <c r="J187" s="53" t="e">
        <f>Table110[[#This Row],[MW Proyectada (Barra A)]]+Table110[[#This Row],[MW Proyectada (Barra B)]]</f>
        <v>#N/A</v>
      </c>
      <c r="L187" s="53" t="e">
        <f t="shared" si="6"/>
        <v>#N/A</v>
      </c>
      <c r="M187" s="53" t="e">
        <f>IF(Table110[[#This Row],[TOTAL MW]]&lt;165,Table110[[#This Row],[MW Proyectada (Barra A)]],Table110[[#This Row],[MW Proyectada (Barra A)]]*165/Table110[[#This Row],[TOTAL MW]])</f>
        <v>#N/A</v>
      </c>
      <c r="N187" s="53" t="e">
        <f>IF(Table110[[#This Row],[TOTAL MW]]&lt;165,Table110[[#This Row],[MW Proyectada (Barra B)]],Table110[[#This Row],[MW Proyectada (Barra B)]]*165/Table110[[#This Row],[TOTAL MW]])</f>
        <v>#N/A</v>
      </c>
      <c r="P187" s="90"/>
      <c r="Q187" s="90"/>
      <c r="R187" s="93"/>
      <c r="S187" s="93"/>
    </row>
    <row r="188" spans="2:19" x14ac:dyDescent="0.25">
      <c r="B188" s="91">
        <f t="shared" si="7"/>
        <v>45590.79166666622</v>
      </c>
      <c r="C188" s="52">
        <f t="shared" si="8"/>
        <v>7.7916666666666874</v>
      </c>
      <c r="D188" s="92">
        <f>Table110[[#This Row],[Fecha]]</f>
        <v>45590.79166666622</v>
      </c>
      <c r="E188" s="53" t="e">
        <f>VLOOKUP(Table110[[#This Row],[FECHA /HORA]],TBL_CalcDarwin[],7,0)</f>
        <v>#N/A</v>
      </c>
      <c r="F188" s="53" t="e">
        <f>VLOOKUP(Table110[[#This Row],[FECHA /HORA]],TBL_CalcDarwin[],42,0)</f>
        <v>#N/A</v>
      </c>
      <c r="G188" s="53" t="e">
        <f>VLOOKUP(Table110[[#This Row],[FECHA /HORA]],TBL_CalcDarwin[],43,0)</f>
        <v>#N/A</v>
      </c>
      <c r="H188" s="53" t="e">
        <f>VLOOKUP(Table110[[#This Row],[FECHA /HORA]],TBL_CalcDarwin[],40,0)</f>
        <v>#N/A</v>
      </c>
      <c r="I188" s="53" t="e">
        <f>VLOOKUP(Table110[[#This Row],[FECHA /HORA]],TBL_CalcDarwin[],41,0)</f>
        <v>#N/A</v>
      </c>
      <c r="J188" s="53" t="e">
        <f>Table110[[#This Row],[MW Proyectada (Barra A)]]+Table110[[#This Row],[MW Proyectada (Barra B)]]</f>
        <v>#N/A</v>
      </c>
      <c r="L188" s="53" t="e">
        <f t="shared" si="6"/>
        <v>#N/A</v>
      </c>
      <c r="M188" s="53" t="e">
        <f>IF(Table110[[#This Row],[TOTAL MW]]&lt;165,Table110[[#This Row],[MW Proyectada (Barra A)]],Table110[[#This Row],[MW Proyectada (Barra A)]]*165/Table110[[#This Row],[TOTAL MW]])</f>
        <v>#N/A</v>
      </c>
      <c r="N188" s="53" t="e">
        <f>IF(Table110[[#This Row],[TOTAL MW]]&lt;165,Table110[[#This Row],[MW Proyectada (Barra B)]],Table110[[#This Row],[MW Proyectada (Barra B)]]*165/Table110[[#This Row],[TOTAL MW]])</f>
        <v>#N/A</v>
      </c>
      <c r="P188" s="90"/>
      <c r="Q188" s="90"/>
      <c r="R188" s="93"/>
      <c r="S188" s="93"/>
    </row>
    <row r="189" spans="2:19" x14ac:dyDescent="0.25">
      <c r="B189" s="91">
        <f t="shared" si="7"/>
        <v>45590.833333332885</v>
      </c>
      <c r="C189" s="52">
        <f t="shared" si="8"/>
        <v>7.8333333333333544</v>
      </c>
      <c r="D189" s="92">
        <f>Table110[[#This Row],[Fecha]]</f>
        <v>45590.833333332885</v>
      </c>
      <c r="E189" s="53" t="e">
        <f>VLOOKUP(Table110[[#This Row],[FECHA /HORA]],TBL_CalcDarwin[],7,0)</f>
        <v>#N/A</v>
      </c>
      <c r="F189" s="53" t="e">
        <f>VLOOKUP(Table110[[#This Row],[FECHA /HORA]],TBL_CalcDarwin[],42,0)</f>
        <v>#N/A</v>
      </c>
      <c r="G189" s="53" t="e">
        <f>VLOOKUP(Table110[[#This Row],[FECHA /HORA]],TBL_CalcDarwin[],43,0)</f>
        <v>#N/A</v>
      </c>
      <c r="H189" s="53" t="e">
        <f>VLOOKUP(Table110[[#This Row],[FECHA /HORA]],TBL_CalcDarwin[],40,0)</f>
        <v>#N/A</v>
      </c>
      <c r="I189" s="53" t="e">
        <f>VLOOKUP(Table110[[#This Row],[FECHA /HORA]],TBL_CalcDarwin[],41,0)</f>
        <v>#N/A</v>
      </c>
      <c r="J189" s="53" t="e">
        <f>Table110[[#This Row],[MW Proyectada (Barra A)]]+Table110[[#This Row],[MW Proyectada (Barra B)]]</f>
        <v>#N/A</v>
      </c>
      <c r="L189" s="53" t="e">
        <f t="shared" si="6"/>
        <v>#N/A</v>
      </c>
      <c r="M189" s="53" t="e">
        <f>IF(Table110[[#This Row],[TOTAL MW]]&lt;165,Table110[[#This Row],[MW Proyectada (Barra A)]],Table110[[#This Row],[MW Proyectada (Barra A)]]*165/Table110[[#This Row],[TOTAL MW]])</f>
        <v>#N/A</v>
      </c>
      <c r="N189" s="53" t="e">
        <f>IF(Table110[[#This Row],[TOTAL MW]]&lt;165,Table110[[#This Row],[MW Proyectada (Barra B)]],Table110[[#This Row],[MW Proyectada (Barra B)]]*165/Table110[[#This Row],[TOTAL MW]])</f>
        <v>#N/A</v>
      </c>
      <c r="P189" s="90"/>
      <c r="Q189" s="90"/>
      <c r="R189" s="93"/>
      <c r="S189" s="93"/>
    </row>
    <row r="190" spans="2:19" x14ac:dyDescent="0.25">
      <c r="B190" s="91">
        <f t="shared" si="7"/>
        <v>45590.874999999549</v>
      </c>
      <c r="C190" s="52">
        <f t="shared" si="8"/>
        <v>7.8750000000000213</v>
      </c>
      <c r="D190" s="92">
        <f>Table110[[#This Row],[Fecha]]</f>
        <v>45590.874999999549</v>
      </c>
      <c r="E190" s="53" t="e">
        <f>VLOOKUP(Table110[[#This Row],[FECHA /HORA]],TBL_CalcDarwin[],7,0)</f>
        <v>#N/A</v>
      </c>
      <c r="F190" s="53" t="e">
        <f>VLOOKUP(Table110[[#This Row],[FECHA /HORA]],TBL_CalcDarwin[],42,0)</f>
        <v>#N/A</v>
      </c>
      <c r="G190" s="53" t="e">
        <f>VLOOKUP(Table110[[#This Row],[FECHA /HORA]],TBL_CalcDarwin[],43,0)</f>
        <v>#N/A</v>
      </c>
      <c r="H190" s="53" t="e">
        <f>VLOOKUP(Table110[[#This Row],[FECHA /HORA]],TBL_CalcDarwin[],40,0)</f>
        <v>#N/A</v>
      </c>
      <c r="I190" s="53" t="e">
        <f>VLOOKUP(Table110[[#This Row],[FECHA /HORA]],TBL_CalcDarwin[],41,0)</f>
        <v>#N/A</v>
      </c>
      <c r="J190" s="53" t="e">
        <f>Table110[[#This Row],[MW Proyectada (Barra A)]]+Table110[[#This Row],[MW Proyectada (Barra B)]]</f>
        <v>#N/A</v>
      </c>
      <c r="L190" s="53" t="e">
        <f t="shared" si="6"/>
        <v>#N/A</v>
      </c>
      <c r="M190" s="53" t="e">
        <f>IF(Table110[[#This Row],[TOTAL MW]]&lt;165,Table110[[#This Row],[MW Proyectada (Barra A)]],Table110[[#This Row],[MW Proyectada (Barra A)]]*165/Table110[[#This Row],[TOTAL MW]])</f>
        <v>#N/A</v>
      </c>
      <c r="N190" s="53" t="e">
        <f>IF(Table110[[#This Row],[TOTAL MW]]&lt;165,Table110[[#This Row],[MW Proyectada (Barra B)]],Table110[[#This Row],[MW Proyectada (Barra B)]]*165/Table110[[#This Row],[TOTAL MW]])</f>
        <v>#N/A</v>
      </c>
      <c r="P190" s="90"/>
      <c r="Q190" s="90"/>
      <c r="R190" s="93"/>
      <c r="S190" s="93"/>
    </row>
    <row r="191" spans="2:19" x14ac:dyDescent="0.25">
      <c r="B191" s="91">
        <f t="shared" si="7"/>
        <v>45590.916666666213</v>
      </c>
      <c r="C191" s="52">
        <f t="shared" si="8"/>
        <v>7.9166666666666883</v>
      </c>
      <c r="D191" s="92">
        <f>Table110[[#This Row],[Fecha]]</f>
        <v>45590.916666666213</v>
      </c>
      <c r="E191" s="53" t="e">
        <f>VLOOKUP(Table110[[#This Row],[FECHA /HORA]],TBL_CalcDarwin[],7,0)</f>
        <v>#N/A</v>
      </c>
      <c r="F191" s="53" t="e">
        <f>VLOOKUP(Table110[[#This Row],[FECHA /HORA]],TBL_CalcDarwin[],42,0)</f>
        <v>#N/A</v>
      </c>
      <c r="G191" s="53" t="e">
        <f>VLOOKUP(Table110[[#This Row],[FECHA /HORA]],TBL_CalcDarwin[],43,0)</f>
        <v>#N/A</v>
      </c>
      <c r="H191" s="53" t="e">
        <f>VLOOKUP(Table110[[#This Row],[FECHA /HORA]],TBL_CalcDarwin[],40,0)</f>
        <v>#N/A</v>
      </c>
      <c r="I191" s="53" t="e">
        <f>VLOOKUP(Table110[[#This Row],[FECHA /HORA]],TBL_CalcDarwin[],41,0)</f>
        <v>#N/A</v>
      </c>
      <c r="J191" s="53" t="e">
        <f>Table110[[#This Row],[MW Proyectada (Barra A)]]+Table110[[#This Row],[MW Proyectada (Barra B)]]</f>
        <v>#N/A</v>
      </c>
      <c r="L191" s="53" t="e">
        <f t="shared" si="6"/>
        <v>#N/A</v>
      </c>
      <c r="M191" s="53" t="e">
        <f>IF(Table110[[#This Row],[TOTAL MW]]&lt;165,Table110[[#This Row],[MW Proyectada (Barra A)]],Table110[[#This Row],[MW Proyectada (Barra A)]]*165/Table110[[#This Row],[TOTAL MW]])</f>
        <v>#N/A</v>
      </c>
      <c r="N191" s="53" t="e">
        <f>IF(Table110[[#This Row],[TOTAL MW]]&lt;165,Table110[[#This Row],[MW Proyectada (Barra B)]],Table110[[#This Row],[MW Proyectada (Barra B)]]*165/Table110[[#This Row],[TOTAL MW]])</f>
        <v>#N/A</v>
      </c>
      <c r="P191" s="90"/>
      <c r="Q191" s="90"/>
      <c r="R191" s="93"/>
      <c r="S191" s="93"/>
    </row>
    <row r="192" spans="2:19" x14ac:dyDescent="0.25">
      <c r="B192" s="91">
        <f t="shared" si="7"/>
        <v>45590.958333332877</v>
      </c>
      <c r="C192" s="52">
        <f t="shared" si="8"/>
        <v>7.9583333333333552</v>
      </c>
      <c r="D192" s="92">
        <f>Table110[[#This Row],[Fecha]]</f>
        <v>45590.958333332877</v>
      </c>
      <c r="E192" s="53" t="e">
        <f>VLOOKUP(Table110[[#This Row],[FECHA /HORA]],TBL_CalcDarwin[],7,0)</f>
        <v>#N/A</v>
      </c>
      <c r="F192" s="53" t="e">
        <f>VLOOKUP(Table110[[#This Row],[FECHA /HORA]],TBL_CalcDarwin[],42,0)</f>
        <v>#N/A</v>
      </c>
      <c r="G192" s="53" t="e">
        <f>VLOOKUP(Table110[[#This Row],[FECHA /HORA]],TBL_CalcDarwin[],43,0)</f>
        <v>#N/A</v>
      </c>
      <c r="H192" s="53" t="e">
        <f>VLOOKUP(Table110[[#This Row],[FECHA /HORA]],TBL_CalcDarwin[],40,0)</f>
        <v>#N/A</v>
      </c>
      <c r="I192" s="53" t="e">
        <f>VLOOKUP(Table110[[#This Row],[FECHA /HORA]],TBL_CalcDarwin[],41,0)</f>
        <v>#N/A</v>
      </c>
      <c r="J192" s="53" t="e">
        <f>Table110[[#This Row],[MW Proyectada (Barra A)]]+Table110[[#This Row],[MW Proyectada (Barra B)]]</f>
        <v>#N/A</v>
      </c>
      <c r="L192" s="53" t="e">
        <f t="shared" si="6"/>
        <v>#N/A</v>
      </c>
      <c r="M192" s="53" t="e">
        <f>IF(Table110[[#This Row],[TOTAL MW]]&lt;165,Table110[[#This Row],[MW Proyectada (Barra A)]],Table110[[#This Row],[MW Proyectada (Barra A)]]*165/Table110[[#This Row],[TOTAL MW]])</f>
        <v>#N/A</v>
      </c>
      <c r="N192" s="53" t="e">
        <f>IF(Table110[[#This Row],[TOTAL MW]]&lt;165,Table110[[#This Row],[MW Proyectada (Barra B)]],Table110[[#This Row],[MW Proyectada (Barra B)]]*165/Table110[[#This Row],[TOTAL MW]])</f>
        <v>#N/A</v>
      </c>
      <c r="P192" s="90"/>
      <c r="Q192" s="90"/>
      <c r="R192" s="93"/>
      <c r="S192" s="93"/>
    </row>
    <row r="193" spans="2:19" x14ac:dyDescent="0.25">
      <c r="B193" s="91">
        <f t="shared" si="7"/>
        <v>45590.999999999542</v>
      </c>
      <c r="C193" s="52">
        <f t="shared" si="8"/>
        <v>8.0000000000000213</v>
      </c>
      <c r="D193" s="92">
        <f>Table110[[#This Row],[Fecha]]</f>
        <v>45590.999999999542</v>
      </c>
      <c r="E193" s="53" t="e">
        <f>VLOOKUP(Table110[[#This Row],[FECHA /HORA]],TBL_CalcDarwin[],7,0)</f>
        <v>#N/A</v>
      </c>
      <c r="F193" s="53" t="e">
        <f>VLOOKUP(Table110[[#This Row],[FECHA /HORA]],TBL_CalcDarwin[],42,0)</f>
        <v>#N/A</v>
      </c>
      <c r="G193" s="53" t="e">
        <f>VLOOKUP(Table110[[#This Row],[FECHA /HORA]],TBL_CalcDarwin[],43,0)</f>
        <v>#N/A</v>
      </c>
      <c r="H193" s="53" t="e">
        <f>VLOOKUP(Table110[[#This Row],[FECHA /HORA]],TBL_CalcDarwin[],40,0)</f>
        <v>#N/A</v>
      </c>
      <c r="I193" s="53" t="e">
        <f>VLOOKUP(Table110[[#This Row],[FECHA /HORA]],TBL_CalcDarwin[],41,0)</f>
        <v>#N/A</v>
      </c>
      <c r="J193" s="53" t="e">
        <f>Table110[[#This Row],[MW Proyectada (Barra A)]]+Table110[[#This Row],[MW Proyectada (Barra B)]]</f>
        <v>#N/A</v>
      </c>
      <c r="L193" s="53" t="e">
        <f t="shared" si="6"/>
        <v>#N/A</v>
      </c>
      <c r="M193" s="53" t="e">
        <f>IF(Table110[[#This Row],[TOTAL MW]]&lt;165,Table110[[#This Row],[MW Proyectada (Barra A)]],Table110[[#This Row],[MW Proyectada (Barra A)]]*165/Table110[[#This Row],[TOTAL MW]])</f>
        <v>#N/A</v>
      </c>
      <c r="N193" s="53" t="e">
        <f>IF(Table110[[#This Row],[TOTAL MW]]&lt;165,Table110[[#This Row],[MW Proyectada (Barra B)]],Table110[[#This Row],[MW Proyectada (Barra B)]]*165/Table110[[#This Row],[TOTAL MW]])</f>
        <v>#N/A</v>
      </c>
      <c r="P193" s="90"/>
      <c r="Q193" s="90"/>
      <c r="R193" s="93"/>
      <c r="S193" s="93"/>
    </row>
    <row r="194" spans="2:19" x14ac:dyDescent="0.25">
      <c r="B194" s="91">
        <f t="shared" si="7"/>
        <v>45591.041666666206</v>
      </c>
      <c r="C194" s="52">
        <f t="shared" si="8"/>
        <v>8.0416666666666874</v>
      </c>
      <c r="D194" s="92">
        <f>Table110[[#This Row],[Fecha]]</f>
        <v>45591.041666666206</v>
      </c>
      <c r="E194" s="53" t="e">
        <f>VLOOKUP(Table110[[#This Row],[FECHA /HORA]],TBL_CalcDarwin[],7,0)</f>
        <v>#N/A</v>
      </c>
      <c r="F194" s="53" t="e">
        <f>VLOOKUP(Table110[[#This Row],[FECHA /HORA]],TBL_CalcDarwin[],42,0)</f>
        <v>#N/A</v>
      </c>
      <c r="G194" s="53" t="e">
        <f>VLOOKUP(Table110[[#This Row],[FECHA /HORA]],TBL_CalcDarwin[],43,0)</f>
        <v>#N/A</v>
      </c>
      <c r="H194" s="53" t="e">
        <f>VLOOKUP(Table110[[#This Row],[FECHA /HORA]],TBL_CalcDarwin[],40,0)</f>
        <v>#N/A</v>
      </c>
      <c r="I194" s="53" t="e">
        <f>VLOOKUP(Table110[[#This Row],[FECHA /HORA]],TBL_CalcDarwin[],41,0)</f>
        <v>#N/A</v>
      </c>
      <c r="J194" s="53" t="e">
        <f>Table110[[#This Row],[MW Proyectada (Barra A)]]+Table110[[#This Row],[MW Proyectada (Barra B)]]</f>
        <v>#N/A</v>
      </c>
      <c r="L194" s="53" t="e">
        <f t="shared" si="6"/>
        <v>#N/A</v>
      </c>
      <c r="M194" s="53" t="e">
        <f>IF(Table110[[#This Row],[TOTAL MW]]&lt;165,Table110[[#This Row],[MW Proyectada (Barra A)]],Table110[[#This Row],[MW Proyectada (Barra A)]]*165/Table110[[#This Row],[TOTAL MW]])</f>
        <v>#N/A</v>
      </c>
      <c r="N194" s="53" t="e">
        <f>IF(Table110[[#This Row],[TOTAL MW]]&lt;165,Table110[[#This Row],[MW Proyectada (Barra B)]],Table110[[#This Row],[MW Proyectada (Barra B)]]*165/Table110[[#This Row],[TOTAL MW]])</f>
        <v>#N/A</v>
      </c>
      <c r="P194" s="90"/>
      <c r="Q194" s="90"/>
      <c r="R194" s="93"/>
      <c r="S194" s="93"/>
    </row>
    <row r="195" spans="2:19" x14ac:dyDescent="0.25">
      <c r="B195" s="91">
        <f t="shared" si="7"/>
        <v>45591.08333333287</v>
      </c>
      <c r="C195" s="52">
        <f t="shared" si="8"/>
        <v>8.0833333333333535</v>
      </c>
      <c r="D195" s="92">
        <f>Table110[[#This Row],[Fecha]]</f>
        <v>45591.08333333287</v>
      </c>
      <c r="E195" s="53" t="e">
        <f>VLOOKUP(Table110[[#This Row],[FECHA /HORA]],TBL_CalcDarwin[],7,0)</f>
        <v>#N/A</v>
      </c>
      <c r="F195" s="53" t="e">
        <f>VLOOKUP(Table110[[#This Row],[FECHA /HORA]],TBL_CalcDarwin[],42,0)</f>
        <v>#N/A</v>
      </c>
      <c r="G195" s="53" t="e">
        <f>VLOOKUP(Table110[[#This Row],[FECHA /HORA]],TBL_CalcDarwin[],43,0)</f>
        <v>#N/A</v>
      </c>
      <c r="H195" s="53" t="e">
        <f>VLOOKUP(Table110[[#This Row],[FECHA /HORA]],TBL_CalcDarwin[],40,0)</f>
        <v>#N/A</v>
      </c>
      <c r="I195" s="53" t="e">
        <f>VLOOKUP(Table110[[#This Row],[FECHA /HORA]],TBL_CalcDarwin[],41,0)</f>
        <v>#N/A</v>
      </c>
      <c r="J195" s="53" t="e">
        <f>Table110[[#This Row],[MW Proyectada (Barra A)]]+Table110[[#This Row],[MW Proyectada (Barra B)]]</f>
        <v>#N/A</v>
      </c>
      <c r="L195" s="53" t="e">
        <f t="shared" si="6"/>
        <v>#N/A</v>
      </c>
      <c r="M195" s="53" t="e">
        <f>IF(Table110[[#This Row],[TOTAL MW]]&lt;165,Table110[[#This Row],[MW Proyectada (Barra A)]],Table110[[#This Row],[MW Proyectada (Barra A)]]*165/Table110[[#This Row],[TOTAL MW]])</f>
        <v>#N/A</v>
      </c>
      <c r="N195" s="53" t="e">
        <f>IF(Table110[[#This Row],[TOTAL MW]]&lt;165,Table110[[#This Row],[MW Proyectada (Barra B)]],Table110[[#This Row],[MW Proyectada (Barra B)]]*165/Table110[[#This Row],[TOTAL MW]])</f>
        <v>#N/A</v>
      </c>
      <c r="P195" s="90"/>
      <c r="Q195" s="90"/>
      <c r="R195" s="93"/>
      <c r="S195" s="93"/>
    </row>
    <row r="196" spans="2:19" x14ac:dyDescent="0.25">
      <c r="B196" s="91">
        <f t="shared" si="7"/>
        <v>45591.124999999534</v>
      </c>
      <c r="C196" s="52">
        <f t="shared" si="8"/>
        <v>8.1250000000000195</v>
      </c>
      <c r="D196" s="92">
        <f>Table110[[#This Row],[Fecha]]</f>
        <v>45591.124999999534</v>
      </c>
      <c r="E196" s="53" t="e">
        <f>VLOOKUP(Table110[[#This Row],[FECHA /HORA]],TBL_CalcDarwin[],7,0)</f>
        <v>#N/A</v>
      </c>
      <c r="F196" s="53" t="e">
        <f>VLOOKUP(Table110[[#This Row],[FECHA /HORA]],TBL_CalcDarwin[],42,0)</f>
        <v>#N/A</v>
      </c>
      <c r="G196" s="53" t="e">
        <f>VLOOKUP(Table110[[#This Row],[FECHA /HORA]],TBL_CalcDarwin[],43,0)</f>
        <v>#N/A</v>
      </c>
      <c r="H196" s="53" t="e">
        <f>VLOOKUP(Table110[[#This Row],[FECHA /HORA]],TBL_CalcDarwin[],40,0)</f>
        <v>#N/A</v>
      </c>
      <c r="I196" s="53" t="e">
        <f>VLOOKUP(Table110[[#This Row],[FECHA /HORA]],TBL_CalcDarwin[],41,0)</f>
        <v>#N/A</v>
      </c>
      <c r="J196" s="53" t="e">
        <f>Table110[[#This Row],[MW Proyectada (Barra A)]]+Table110[[#This Row],[MW Proyectada (Barra B)]]</f>
        <v>#N/A</v>
      </c>
      <c r="L196" s="53" t="e">
        <f t="shared" ref="L196:L228" si="9">M196+N196</f>
        <v>#N/A</v>
      </c>
      <c r="M196" s="53" t="e">
        <f>IF(Table110[[#This Row],[TOTAL MW]]&lt;165,Table110[[#This Row],[MW Proyectada (Barra A)]],Table110[[#This Row],[MW Proyectada (Barra A)]]*165/Table110[[#This Row],[TOTAL MW]])</f>
        <v>#N/A</v>
      </c>
      <c r="N196" s="53" t="e">
        <f>IF(Table110[[#This Row],[TOTAL MW]]&lt;165,Table110[[#This Row],[MW Proyectada (Barra B)]],Table110[[#This Row],[MW Proyectada (Barra B)]]*165/Table110[[#This Row],[TOTAL MW]])</f>
        <v>#N/A</v>
      </c>
      <c r="P196" s="90"/>
      <c r="Q196" s="90"/>
      <c r="R196" s="93"/>
      <c r="S196" s="93"/>
    </row>
    <row r="197" spans="2:19" x14ac:dyDescent="0.25">
      <c r="B197" s="91">
        <f t="shared" ref="B197:B228" si="10">B196+TIME(1,0,0)</f>
        <v>45591.166666666199</v>
      </c>
      <c r="C197" s="52">
        <f t="shared" ref="C197:C228" si="11">C196+TIME(1,0,0)</f>
        <v>8.1666666666666856</v>
      </c>
      <c r="D197" s="92">
        <f>Table110[[#This Row],[Fecha]]</f>
        <v>45591.166666666199</v>
      </c>
      <c r="E197" s="53" t="e">
        <f>VLOOKUP(Table110[[#This Row],[FECHA /HORA]],TBL_CalcDarwin[],7,0)</f>
        <v>#N/A</v>
      </c>
      <c r="F197" s="53" t="e">
        <f>VLOOKUP(Table110[[#This Row],[FECHA /HORA]],TBL_CalcDarwin[],42,0)</f>
        <v>#N/A</v>
      </c>
      <c r="G197" s="53" t="e">
        <f>VLOOKUP(Table110[[#This Row],[FECHA /HORA]],TBL_CalcDarwin[],43,0)</f>
        <v>#N/A</v>
      </c>
      <c r="H197" s="53" t="e">
        <f>VLOOKUP(Table110[[#This Row],[FECHA /HORA]],TBL_CalcDarwin[],40,0)</f>
        <v>#N/A</v>
      </c>
      <c r="I197" s="53" t="e">
        <f>VLOOKUP(Table110[[#This Row],[FECHA /HORA]],TBL_CalcDarwin[],41,0)</f>
        <v>#N/A</v>
      </c>
      <c r="J197" s="53" t="e">
        <f>Table110[[#This Row],[MW Proyectada (Barra A)]]+Table110[[#This Row],[MW Proyectada (Barra B)]]</f>
        <v>#N/A</v>
      </c>
      <c r="L197" s="53" t="e">
        <f t="shared" si="9"/>
        <v>#N/A</v>
      </c>
      <c r="M197" s="53" t="e">
        <f>IF(Table110[[#This Row],[TOTAL MW]]&lt;165,Table110[[#This Row],[MW Proyectada (Barra A)]],Table110[[#This Row],[MW Proyectada (Barra A)]]*165/Table110[[#This Row],[TOTAL MW]])</f>
        <v>#N/A</v>
      </c>
      <c r="N197" s="53" t="e">
        <f>IF(Table110[[#This Row],[TOTAL MW]]&lt;165,Table110[[#This Row],[MW Proyectada (Barra B)]],Table110[[#This Row],[MW Proyectada (Barra B)]]*165/Table110[[#This Row],[TOTAL MW]])</f>
        <v>#N/A</v>
      </c>
      <c r="P197" s="90"/>
      <c r="Q197" s="90"/>
      <c r="R197" s="93"/>
      <c r="S197" s="93"/>
    </row>
    <row r="198" spans="2:19" x14ac:dyDescent="0.25">
      <c r="B198" s="91">
        <f t="shared" si="10"/>
        <v>45591.208333332863</v>
      </c>
      <c r="C198" s="52">
        <f t="shared" si="11"/>
        <v>8.2083333333333517</v>
      </c>
      <c r="D198" s="92">
        <f>Table110[[#This Row],[Fecha]]</f>
        <v>45591.208333332863</v>
      </c>
      <c r="E198" s="53" t="e">
        <f>VLOOKUP(Table110[[#This Row],[FECHA /HORA]],TBL_CalcDarwin[],7,0)</f>
        <v>#N/A</v>
      </c>
      <c r="F198" s="53" t="e">
        <f>VLOOKUP(Table110[[#This Row],[FECHA /HORA]],TBL_CalcDarwin[],42,0)</f>
        <v>#N/A</v>
      </c>
      <c r="G198" s="53" t="e">
        <f>VLOOKUP(Table110[[#This Row],[FECHA /HORA]],TBL_CalcDarwin[],43,0)</f>
        <v>#N/A</v>
      </c>
      <c r="H198" s="53" t="e">
        <f>VLOOKUP(Table110[[#This Row],[FECHA /HORA]],TBL_CalcDarwin[],40,0)</f>
        <v>#N/A</v>
      </c>
      <c r="I198" s="53" t="e">
        <f>VLOOKUP(Table110[[#This Row],[FECHA /HORA]],TBL_CalcDarwin[],41,0)</f>
        <v>#N/A</v>
      </c>
      <c r="J198" s="53" t="e">
        <f>Table110[[#This Row],[MW Proyectada (Barra A)]]+Table110[[#This Row],[MW Proyectada (Barra B)]]</f>
        <v>#N/A</v>
      </c>
      <c r="L198" s="53" t="e">
        <f t="shared" si="9"/>
        <v>#N/A</v>
      </c>
      <c r="M198" s="53" t="e">
        <f>IF(Table110[[#This Row],[TOTAL MW]]&lt;165,Table110[[#This Row],[MW Proyectada (Barra A)]],Table110[[#This Row],[MW Proyectada (Barra A)]]*165/Table110[[#This Row],[TOTAL MW]])</f>
        <v>#N/A</v>
      </c>
      <c r="N198" s="53" t="e">
        <f>IF(Table110[[#This Row],[TOTAL MW]]&lt;165,Table110[[#This Row],[MW Proyectada (Barra B)]],Table110[[#This Row],[MW Proyectada (Barra B)]]*165/Table110[[#This Row],[TOTAL MW]])</f>
        <v>#N/A</v>
      </c>
      <c r="P198" s="90"/>
      <c r="Q198" s="90"/>
      <c r="R198" s="93"/>
      <c r="S198" s="93"/>
    </row>
    <row r="199" spans="2:19" x14ac:dyDescent="0.25">
      <c r="B199" s="91">
        <f t="shared" si="10"/>
        <v>45591.249999999527</v>
      </c>
      <c r="C199" s="52">
        <f t="shared" si="11"/>
        <v>8.2500000000000178</v>
      </c>
      <c r="D199" s="92">
        <f>Table110[[#This Row],[Fecha]]</f>
        <v>45591.249999999527</v>
      </c>
      <c r="E199" s="53" t="e">
        <f>VLOOKUP(Table110[[#This Row],[FECHA /HORA]],TBL_CalcDarwin[],7,0)</f>
        <v>#N/A</v>
      </c>
      <c r="F199" s="53" t="e">
        <f>VLOOKUP(Table110[[#This Row],[FECHA /HORA]],TBL_CalcDarwin[],42,0)</f>
        <v>#N/A</v>
      </c>
      <c r="G199" s="53" t="e">
        <f>VLOOKUP(Table110[[#This Row],[FECHA /HORA]],TBL_CalcDarwin[],43,0)</f>
        <v>#N/A</v>
      </c>
      <c r="H199" s="53" t="e">
        <f>VLOOKUP(Table110[[#This Row],[FECHA /HORA]],TBL_CalcDarwin[],40,0)</f>
        <v>#N/A</v>
      </c>
      <c r="I199" s="53" t="e">
        <f>VLOOKUP(Table110[[#This Row],[FECHA /HORA]],TBL_CalcDarwin[],41,0)</f>
        <v>#N/A</v>
      </c>
      <c r="J199" s="53" t="e">
        <f>Table110[[#This Row],[MW Proyectada (Barra A)]]+Table110[[#This Row],[MW Proyectada (Barra B)]]</f>
        <v>#N/A</v>
      </c>
      <c r="L199" s="53" t="e">
        <f t="shared" si="9"/>
        <v>#N/A</v>
      </c>
      <c r="M199" s="53" t="e">
        <f>IF(Table110[[#This Row],[TOTAL MW]]&lt;165,Table110[[#This Row],[MW Proyectada (Barra A)]],Table110[[#This Row],[MW Proyectada (Barra A)]]*165/Table110[[#This Row],[TOTAL MW]])</f>
        <v>#N/A</v>
      </c>
      <c r="N199" s="53" t="e">
        <f>IF(Table110[[#This Row],[TOTAL MW]]&lt;165,Table110[[#This Row],[MW Proyectada (Barra B)]],Table110[[#This Row],[MW Proyectada (Barra B)]]*165/Table110[[#This Row],[TOTAL MW]])</f>
        <v>#N/A</v>
      </c>
      <c r="P199" s="90"/>
      <c r="Q199" s="90"/>
      <c r="R199" s="93"/>
      <c r="S199" s="93"/>
    </row>
    <row r="200" spans="2:19" x14ac:dyDescent="0.25">
      <c r="B200" s="91">
        <f t="shared" si="10"/>
        <v>45591.291666666191</v>
      </c>
      <c r="C200" s="52">
        <f t="shared" si="11"/>
        <v>8.2916666666666838</v>
      </c>
      <c r="D200" s="92">
        <f>Table110[[#This Row],[Fecha]]</f>
        <v>45591.291666666191</v>
      </c>
      <c r="E200" s="53" t="e">
        <f>VLOOKUP(Table110[[#This Row],[FECHA /HORA]],TBL_CalcDarwin[],7,0)</f>
        <v>#N/A</v>
      </c>
      <c r="F200" s="53" t="e">
        <f>VLOOKUP(Table110[[#This Row],[FECHA /HORA]],TBL_CalcDarwin[],42,0)</f>
        <v>#N/A</v>
      </c>
      <c r="G200" s="53" t="e">
        <f>VLOOKUP(Table110[[#This Row],[FECHA /HORA]],TBL_CalcDarwin[],43,0)</f>
        <v>#N/A</v>
      </c>
      <c r="H200" s="53" t="e">
        <f>VLOOKUP(Table110[[#This Row],[FECHA /HORA]],TBL_CalcDarwin[],40,0)</f>
        <v>#N/A</v>
      </c>
      <c r="I200" s="53" t="e">
        <f>VLOOKUP(Table110[[#This Row],[FECHA /HORA]],TBL_CalcDarwin[],41,0)</f>
        <v>#N/A</v>
      </c>
      <c r="J200" s="53" t="e">
        <f>Table110[[#This Row],[MW Proyectada (Barra A)]]+Table110[[#This Row],[MW Proyectada (Barra B)]]</f>
        <v>#N/A</v>
      </c>
      <c r="L200" s="53" t="e">
        <f t="shared" si="9"/>
        <v>#N/A</v>
      </c>
      <c r="M200" s="53" t="e">
        <f>IF(Table110[[#This Row],[TOTAL MW]]&lt;165,Table110[[#This Row],[MW Proyectada (Barra A)]],Table110[[#This Row],[MW Proyectada (Barra A)]]*165/Table110[[#This Row],[TOTAL MW]])</f>
        <v>#N/A</v>
      </c>
      <c r="N200" s="53" t="e">
        <f>IF(Table110[[#This Row],[TOTAL MW]]&lt;165,Table110[[#This Row],[MW Proyectada (Barra B)]],Table110[[#This Row],[MW Proyectada (Barra B)]]*165/Table110[[#This Row],[TOTAL MW]])</f>
        <v>#N/A</v>
      </c>
      <c r="P200" s="90"/>
      <c r="Q200" s="90"/>
      <c r="R200" s="93"/>
      <c r="S200" s="93"/>
    </row>
    <row r="201" spans="2:19" x14ac:dyDescent="0.25">
      <c r="B201" s="91">
        <f t="shared" si="10"/>
        <v>45591.333333332856</v>
      </c>
      <c r="C201" s="52">
        <f t="shared" si="11"/>
        <v>8.3333333333333499</v>
      </c>
      <c r="D201" s="92">
        <f>Table110[[#This Row],[Fecha]]</f>
        <v>45591.333333332856</v>
      </c>
      <c r="E201" s="53" t="e">
        <f>VLOOKUP(Table110[[#This Row],[FECHA /HORA]],TBL_CalcDarwin[],7,0)</f>
        <v>#N/A</v>
      </c>
      <c r="F201" s="53" t="e">
        <f>VLOOKUP(Table110[[#This Row],[FECHA /HORA]],TBL_CalcDarwin[],42,0)</f>
        <v>#N/A</v>
      </c>
      <c r="G201" s="53" t="e">
        <f>VLOOKUP(Table110[[#This Row],[FECHA /HORA]],TBL_CalcDarwin[],43,0)</f>
        <v>#N/A</v>
      </c>
      <c r="H201" s="53" t="e">
        <f>VLOOKUP(Table110[[#This Row],[FECHA /HORA]],TBL_CalcDarwin[],40,0)</f>
        <v>#N/A</v>
      </c>
      <c r="I201" s="53" t="e">
        <f>VLOOKUP(Table110[[#This Row],[FECHA /HORA]],TBL_CalcDarwin[],41,0)</f>
        <v>#N/A</v>
      </c>
      <c r="J201" s="53" t="e">
        <f>Table110[[#This Row],[MW Proyectada (Barra A)]]+Table110[[#This Row],[MW Proyectada (Barra B)]]</f>
        <v>#N/A</v>
      </c>
      <c r="L201" s="53" t="e">
        <f t="shared" si="9"/>
        <v>#N/A</v>
      </c>
      <c r="M201" s="53" t="e">
        <f>IF(Table110[[#This Row],[TOTAL MW]]&lt;165,Table110[[#This Row],[MW Proyectada (Barra A)]],Table110[[#This Row],[MW Proyectada (Barra A)]]*165/Table110[[#This Row],[TOTAL MW]])</f>
        <v>#N/A</v>
      </c>
      <c r="N201" s="53" t="e">
        <f>IF(Table110[[#This Row],[TOTAL MW]]&lt;165,Table110[[#This Row],[MW Proyectada (Barra B)]],Table110[[#This Row],[MW Proyectada (Barra B)]]*165/Table110[[#This Row],[TOTAL MW]])</f>
        <v>#N/A</v>
      </c>
      <c r="P201" s="90"/>
      <c r="Q201" s="90"/>
      <c r="R201" s="93"/>
      <c r="S201" s="93"/>
    </row>
    <row r="202" spans="2:19" x14ac:dyDescent="0.25">
      <c r="B202" s="91">
        <f t="shared" si="10"/>
        <v>45591.37499999952</v>
      </c>
      <c r="C202" s="52">
        <f t="shared" si="11"/>
        <v>8.375000000000016</v>
      </c>
      <c r="D202" s="92">
        <f>Table110[[#This Row],[Fecha]]</f>
        <v>45591.37499999952</v>
      </c>
      <c r="E202" s="53" t="e">
        <f>VLOOKUP(Table110[[#This Row],[FECHA /HORA]],TBL_CalcDarwin[],7,0)</f>
        <v>#N/A</v>
      </c>
      <c r="F202" s="53" t="e">
        <f>VLOOKUP(Table110[[#This Row],[FECHA /HORA]],TBL_CalcDarwin[],42,0)</f>
        <v>#N/A</v>
      </c>
      <c r="G202" s="53" t="e">
        <f>VLOOKUP(Table110[[#This Row],[FECHA /HORA]],TBL_CalcDarwin[],43,0)</f>
        <v>#N/A</v>
      </c>
      <c r="H202" s="53" t="e">
        <f>VLOOKUP(Table110[[#This Row],[FECHA /HORA]],TBL_CalcDarwin[],40,0)</f>
        <v>#N/A</v>
      </c>
      <c r="I202" s="53" t="e">
        <f>VLOOKUP(Table110[[#This Row],[FECHA /HORA]],TBL_CalcDarwin[],41,0)</f>
        <v>#N/A</v>
      </c>
      <c r="J202" s="53" t="e">
        <f>Table110[[#This Row],[MW Proyectada (Barra A)]]+Table110[[#This Row],[MW Proyectada (Barra B)]]</f>
        <v>#N/A</v>
      </c>
      <c r="L202" s="53" t="e">
        <f t="shared" si="9"/>
        <v>#N/A</v>
      </c>
      <c r="M202" s="53" t="e">
        <f>IF(Table110[[#This Row],[TOTAL MW]]&lt;165,Table110[[#This Row],[MW Proyectada (Barra A)]],Table110[[#This Row],[MW Proyectada (Barra A)]]*165/Table110[[#This Row],[TOTAL MW]])</f>
        <v>#N/A</v>
      </c>
      <c r="N202" s="53" t="e">
        <f>IF(Table110[[#This Row],[TOTAL MW]]&lt;165,Table110[[#This Row],[MW Proyectada (Barra B)]],Table110[[#This Row],[MW Proyectada (Barra B)]]*165/Table110[[#This Row],[TOTAL MW]])</f>
        <v>#N/A</v>
      </c>
      <c r="P202" s="90"/>
      <c r="Q202" s="90"/>
      <c r="R202" s="93"/>
      <c r="S202" s="93"/>
    </row>
    <row r="203" spans="2:19" x14ac:dyDescent="0.25">
      <c r="B203" s="91">
        <f t="shared" si="10"/>
        <v>45591.416666666184</v>
      </c>
      <c r="C203" s="52">
        <f t="shared" si="11"/>
        <v>8.4166666666666821</v>
      </c>
      <c r="D203" s="92">
        <f>Table110[[#This Row],[Fecha]]</f>
        <v>45591.416666666184</v>
      </c>
      <c r="E203" s="53" t="e">
        <f>VLOOKUP(Table110[[#This Row],[FECHA /HORA]],TBL_CalcDarwin[],7,0)</f>
        <v>#N/A</v>
      </c>
      <c r="F203" s="53" t="e">
        <f>VLOOKUP(Table110[[#This Row],[FECHA /HORA]],TBL_CalcDarwin[],42,0)</f>
        <v>#N/A</v>
      </c>
      <c r="G203" s="53" t="e">
        <f>VLOOKUP(Table110[[#This Row],[FECHA /HORA]],TBL_CalcDarwin[],43,0)</f>
        <v>#N/A</v>
      </c>
      <c r="H203" s="53" t="e">
        <f>VLOOKUP(Table110[[#This Row],[FECHA /HORA]],TBL_CalcDarwin[],40,0)</f>
        <v>#N/A</v>
      </c>
      <c r="I203" s="53" t="e">
        <f>VLOOKUP(Table110[[#This Row],[FECHA /HORA]],TBL_CalcDarwin[],41,0)</f>
        <v>#N/A</v>
      </c>
      <c r="J203" s="53" t="e">
        <f>Table110[[#This Row],[MW Proyectada (Barra A)]]+Table110[[#This Row],[MW Proyectada (Barra B)]]</f>
        <v>#N/A</v>
      </c>
      <c r="L203" s="53" t="e">
        <f t="shared" si="9"/>
        <v>#N/A</v>
      </c>
      <c r="M203" s="53" t="e">
        <f>IF(Table110[[#This Row],[TOTAL MW]]&lt;165,Table110[[#This Row],[MW Proyectada (Barra A)]],Table110[[#This Row],[MW Proyectada (Barra A)]]*165/Table110[[#This Row],[TOTAL MW]])</f>
        <v>#N/A</v>
      </c>
      <c r="N203" s="53" t="e">
        <f>IF(Table110[[#This Row],[TOTAL MW]]&lt;165,Table110[[#This Row],[MW Proyectada (Barra B)]],Table110[[#This Row],[MW Proyectada (Barra B)]]*165/Table110[[#This Row],[TOTAL MW]])</f>
        <v>#N/A</v>
      </c>
      <c r="P203" s="90"/>
      <c r="Q203" s="90"/>
      <c r="R203" s="93"/>
      <c r="S203" s="93"/>
    </row>
    <row r="204" spans="2:19" x14ac:dyDescent="0.25">
      <c r="B204" s="91">
        <f t="shared" si="10"/>
        <v>45591.458333332848</v>
      </c>
      <c r="C204" s="52">
        <f t="shared" si="11"/>
        <v>8.4583333333333481</v>
      </c>
      <c r="D204" s="92">
        <f>Table110[[#This Row],[Fecha]]</f>
        <v>45591.458333332848</v>
      </c>
      <c r="E204" s="53" t="e">
        <f>VLOOKUP(Table110[[#This Row],[FECHA /HORA]],TBL_CalcDarwin[],7,0)</f>
        <v>#N/A</v>
      </c>
      <c r="F204" s="53" t="e">
        <f>VLOOKUP(Table110[[#This Row],[FECHA /HORA]],TBL_CalcDarwin[],42,0)</f>
        <v>#N/A</v>
      </c>
      <c r="G204" s="53" t="e">
        <f>VLOOKUP(Table110[[#This Row],[FECHA /HORA]],TBL_CalcDarwin[],43,0)</f>
        <v>#N/A</v>
      </c>
      <c r="H204" s="53" t="e">
        <f>VLOOKUP(Table110[[#This Row],[FECHA /HORA]],TBL_CalcDarwin[],40,0)</f>
        <v>#N/A</v>
      </c>
      <c r="I204" s="53" t="e">
        <f>VLOOKUP(Table110[[#This Row],[FECHA /HORA]],TBL_CalcDarwin[],41,0)</f>
        <v>#N/A</v>
      </c>
      <c r="J204" s="53" t="e">
        <f>Table110[[#This Row],[MW Proyectada (Barra A)]]+Table110[[#This Row],[MW Proyectada (Barra B)]]</f>
        <v>#N/A</v>
      </c>
      <c r="L204" s="53" t="e">
        <f t="shared" si="9"/>
        <v>#N/A</v>
      </c>
      <c r="M204" s="53" t="e">
        <f>IF(Table110[[#This Row],[TOTAL MW]]&lt;165,Table110[[#This Row],[MW Proyectada (Barra A)]],Table110[[#This Row],[MW Proyectada (Barra A)]]*165/Table110[[#This Row],[TOTAL MW]])</f>
        <v>#N/A</v>
      </c>
      <c r="N204" s="53" t="e">
        <f>IF(Table110[[#This Row],[TOTAL MW]]&lt;165,Table110[[#This Row],[MW Proyectada (Barra B)]],Table110[[#This Row],[MW Proyectada (Barra B)]]*165/Table110[[#This Row],[TOTAL MW]])</f>
        <v>#N/A</v>
      </c>
      <c r="P204" s="90"/>
      <c r="Q204" s="90"/>
      <c r="R204" s="93"/>
      <c r="S204" s="93"/>
    </row>
    <row r="205" spans="2:19" x14ac:dyDescent="0.25">
      <c r="B205" s="91">
        <f t="shared" si="10"/>
        <v>45591.499999999513</v>
      </c>
      <c r="C205" s="52">
        <f t="shared" si="11"/>
        <v>8.5000000000000142</v>
      </c>
      <c r="D205" s="92">
        <f>Table110[[#This Row],[Fecha]]</f>
        <v>45591.499999999513</v>
      </c>
      <c r="E205" s="53" t="e">
        <f>VLOOKUP(Table110[[#This Row],[FECHA /HORA]],TBL_CalcDarwin[],7,0)</f>
        <v>#N/A</v>
      </c>
      <c r="F205" s="53" t="e">
        <f>VLOOKUP(Table110[[#This Row],[FECHA /HORA]],TBL_CalcDarwin[],42,0)</f>
        <v>#N/A</v>
      </c>
      <c r="G205" s="53" t="e">
        <f>VLOOKUP(Table110[[#This Row],[FECHA /HORA]],TBL_CalcDarwin[],43,0)</f>
        <v>#N/A</v>
      </c>
      <c r="H205" s="53" t="e">
        <f>VLOOKUP(Table110[[#This Row],[FECHA /HORA]],TBL_CalcDarwin[],40,0)</f>
        <v>#N/A</v>
      </c>
      <c r="I205" s="53" t="e">
        <f>VLOOKUP(Table110[[#This Row],[FECHA /HORA]],TBL_CalcDarwin[],41,0)</f>
        <v>#N/A</v>
      </c>
      <c r="J205" s="53" t="e">
        <f>Table110[[#This Row],[MW Proyectada (Barra A)]]+Table110[[#This Row],[MW Proyectada (Barra B)]]</f>
        <v>#N/A</v>
      </c>
      <c r="L205" s="53" t="e">
        <f t="shared" si="9"/>
        <v>#N/A</v>
      </c>
      <c r="M205" s="53" t="e">
        <f>IF(Table110[[#This Row],[TOTAL MW]]&lt;165,Table110[[#This Row],[MW Proyectada (Barra A)]],Table110[[#This Row],[MW Proyectada (Barra A)]]*165/Table110[[#This Row],[TOTAL MW]])</f>
        <v>#N/A</v>
      </c>
      <c r="N205" s="53" t="e">
        <f>IF(Table110[[#This Row],[TOTAL MW]]&lt;165,Table110[[#This Row],[MW Proyectada (Barra B)]],Table110[[#This Row],[MW Proyectada (Barra B)]]*165/Table110[[#This Row],[TOTAL MW]])</f>
        <v>#N/A</v>
      </c>
      <c r="P205" s="90"/>
      <c r="Q205" s="90"/>
      <c r="R205" s="93"/>
      <c r="S205" s="93"/>
    </row>
    <row r="206" spans="2:19" x14ac:dyDescent="0.25">
      <c r="B206" s="91">
        <f t="shared" si="10"/>
        <v>45591.541666666177</v>
      </c>
      <c r="C206" s="52">
        <f t="shared" si="11"/>
        <v>8.5416666666666803</v>
      </c>
      <c r="D206" s="92">
        <f>Table110[[#This Row],[Fecha]]</f>
        <v>45591.541666666177</v>
      </c>
      <c r="E206" s="53" t="e">
        <f>VLOOKUP(Table110[[#This Row],[FECHA /HORA]],TBL_CalcDarwin[],7,0)</f>
        <v>#N/A</v>
      </c>
      <c r="F206" s="53" t="e">
        <f>VLOOKUP(Table110[[#This Row],[FECHA /HORA]],TBL_CalcDarwin[],42,0)</f>
        <v>#N/A</v>
      </c>
      <c r="G206" s="53" t="e">
        <f>VLOOKUP(Table110[[#This Row],[FECHA /HORA]],TBL_CalcDarwin[],43,0)</f>
        <v>#N/A</v>
      </c>
      <c r="H206" s="53" t="e">
        <f>VLOOKUP(Table110[[#This Row],[FECHA /HORA]],TBL_CalcDarwin[],40,0)</f>
        <v>#N/A</v>
      </c>
      <c r="I206" s="53" t="e">
        <f>VLOOKUP(Table110[[#This Row],[FECHA /HORA]],TBL_CalcDarwin[],41,0)</f>
        <v>#N/A</v>
      </c>
      <c r="J206" s="53" t="e">
        <f>Table110[[#This Row],[MW Proyectada (Barra A)]]+Table110[[#This Row],[MW Proyectada (Barra B)]]</f>
        <v>#N/A</v>
      </c>
      <c r="L206" s="53" t="e">
        <f t="shared" si="9"/>
        <v>#N/A</v>
      </c>
      <c r="M206" s="53" t="e">
        <f>IF(Table110[[#This Row],[TOTAL MW]]&lt;165,Table110[[#This Row],[MW Proyectada (Barra A)]],Table110[[#This Row],[MW Proyectada (Barra A)]]*165/Table110[[#This Row],[TOTAL MW]])</f>
        <v>#N/A</v>
      </c>
      <c r="N206" s="53" t="e">
        <f>IF(Table110[[#This Row],[TOTAL MW]]&lt;165,Table110[[#This Row],[MW Proyectada (Barra B)]],Table110[[#This Row],[MW Proyectada (Barra B)]]*165/Table110[[#This Row],[TOTAL MW]])</f>
        <v>#N/A</v>
      </c>
      <c r="P206" s="90"/>
      <c r="Q206" s="90"/>
      <c r="R206" s="93"/>
      <c r="S206" s="93"/>
    </row>
    <row r="207" spans="2:19" x14ac:dyDescent="0.25">
      <c r="B207" s="91">
        <f t="shared" si="10"/>
        <v>45591.583333332841</v>
      </c>
      <c r="C207" s="52">
        <f t="shared" si="11"/>
        <v>8.5833333333333464</v>
      </c>
      <c r="D207" s="92">
        <f>Table110[[#This Row],[Fecha]]</f>
        <v>45591.583333332841</v>
      </c>
      <c r="E207" s="53" t="e">
        <f>VLOOKUP(Table110[[#This Row],[FECHA /HORA]],TBL_CalcDarwin[],7,0)</f>
        <v>#N/A</v>
      </c>
      <c r="F207" s="53" t="e">
        <f>VLOOKUP(Table110[[#This Row],[FECHA /HORA]],TBL_CalcDarwin[],42,0)</f>
        <v>#N/A</v>
      </c>
      <c r="G207" s="53" t="e">
        <f>VLOOKUP(Table110[[#This Row],[FECHA /HORA]],TBL_CalcDarwin[],43,0)</f>
        <v>#N/A</v>
      </c>
      <c r="H207" s="53" t="e">
        <f>VLOOKUP(Table110[[#This Row],[FECHA /HORA]],TBL_CalcDarwin[],40,0)</f>
        <v>#N/A</v>
      </c>
      <c r="I207" s="53" t="e">
        <f>VLOOKUP(Table110[[#This Row],[FECHA /HORA]],TBL_CalcDarwin[],41,0)</f>
        <v>#N/A</v>
      </c>
      <c r="J207" s="53" t="e">
        <f>Table110[[#This Row],[MW Proyectada (Barra A)]]+Table110[[#This Row],[MW Proyectada (Barra B)]]</f>
        <v>#N/A</v>
      </c>
      <c r="L207" s="53" t="e">
        <f t="shared" si="9"/>
        <v>#N/A</v>
      </c>
      <c r="M207" s="53" t="e">
        <f>IF(Table110[[#This Row],[TOTAL MW]]&lt;165,Table110[[#This Row],[MW Proyectada (Barra A)]],Table110[[#This Row],[MW Proyectada (Barra A)]]*165/Table110[[#This Row],[TOTAL MW]])</f>
        <v>#N/A</v>
      </c>
      <c r="N207" s="53" t="e">
        <f>IF(Table110[[#This Row],[TOTAL MW]]&lt;165,Table110[[#This Row],[MW Proyectada (Barra B)]],Table110[[#This Row],[MW Proyectada (Barra B)]]*165/Table110[[#This Row],[TOTAL MW]])</f>
        <v>#N/A</v>
      </c>
      <c r="P207" s="90"/>
      <c r="Q207" s="90"/>
      <c r="R207" s="93"/>
      <c r="S207" s="93"/>
    </row>
    <row r="208" spans="2:19" x14ac:dyDescent="0.25">
      <c r="B208" s="91">
        <f t="shared" si="10"/>
        <v>45591.624999999505</v>
      </c>
      <c r="C208" s="52">
        <f t="shared" si="11"/>
        <v>8.6250000000000124</v>
      </c>
      <c r="D208" s="92">
        <f>Table110[[#This Row],[Fecha]]</f>
        <v>45591.624999999505</v>
      </c>
      <c r="E208" s="53" t="e">
        <f>VLOOKUP(Table110[[#This Row],[FECHA /HORA]],TBL_CalcDarwin[],7,0)</f>
        <v>#N/A</v>
      </c>
      <c r="F208" s="53" t="e">
        <f>VLOOKUP(Table110[[#This Row],[FECHA /HORA]],TBL_CalcDarwin[],42,0)</f>
        <v>#N/A</v>
      </c>
      <c r="G208" s="53" t="e">
        <f>VLOOKUP(Table110[[#This Row],[FECHA /HORA]],TBL_CalcDarwin[],43,0)</f>
        <v>#N/A</v>
      </c>
      <c r="H208" s="53" t="e">
        <f>VLOOKUP(Table110[[#This Row],[FECHA /HORA]],TBL_CalcDarwin[],40,0)</f>
        <v>#N/A</v>
      </c>
      <c r="I208" s="53" t="e">
        <f>VLOOKUP(Table110[[#This Row],[FECHA /HORA]],TBL_CalcDarwin[],41,0)</f>
        <v>#N/A</v>
      </c>
      <c r="J208" s="53" t="e">
        <f>Table110[[#This Row],[MW Proyectada (Barra A)]]+Table110[[#This Row],[MW Proyectada (Barra B)]]</f>
        <v>#N/A</v>
      </c>
      <c r="L208" s="53" t="e">
        <f t="shared" si="9"/>
        <v>#N/A</v>
      </c>
      <c r="M208" s="53" t="e">
        <f>IF(Table110[[#This Row],[TOTAL MW]]&lt;165,Table110[[#This Row],[MW Proyectada (Barra A)]],Table110[[#This Row],[MW Proyectada (Barra A)]]*165/Table110[[#This Row],[TOTAL MW]])</f>
        <v>#N/A</v>
      </c>
      <c r="N208" s="53" t="e">
        <f>IF(Table110[[#This Row],[TOTAL MW]]&lt;165,Table110[[#This Row],[MW Proyectada (Barra B)]],Table110[[#This Row],[MW Proyectada (Barra B)]]*165/Table110[[#This Row],[TOTAL MW]])</f>
        <v>#N/A</v>
      </c>
      <c r="P208" s="90"/>
      <c r="Q208" s="90"/>
      <c r="R208" s="93"/>
      <c r="S208" s="93"/>
    </row>
    <row r="209" spans="2:19" x14ac:dyDescent="0.25">
      <c r="B209" s="91">
        <f t="shared" si="10"/>
        <v>45591.666666666169</v>
      </c>
      <c r="C209" s="52">
        <f t="shared" si="11"/>
        <v>8.6666666666666785</v>
      </c>
      <c r="D209" s="92">
        <f>Table110[[#This Row],[Fecha]]</f>
        <v>45591.666666666169</v>
      </c>
      <c r="E209" s="53" t="e">
        <f>VLOOKUP(Table110[[#This Row],[FECHA /HORA]],TBL_CalcDarwin[],7,0)</f>
        <v>#N/A</v>
      </c>
      <c r="F209" s="53" t="e">
        <f>VLOOKUP(Table110[[#This Row],[FECHA /HORA]],TBL_CalcDarwin[],42,0)</f>
        <v>#N/A</v>
      </c>
      <c r="G209" s="53" t="e">
        <f>VLOOKUP(Table110[[#This Row],[FECHA /HORA]],TBL_CalcDarwin[],43,0)</f>
        <v>#N/A</v>
      </c>
      <c r="H209" s="53" t="e">
        <f>VLOOKUP(Table110[[#This Row],[FECHA /HORA]],TBL_CalcDarwin[],40,0)</f>
        <v>#N/A</v>
      </c>
      <c r="I209" s="53" t="e">
        <f>VLOOKUP(Table110[[#This Row],[FECHA /HORA]],TBL_CalcDarwin[],41,0)</f>
        <v>#N/A</v>
      </c>
      <c r="J209" s="53" t="e">
        <f>Table110[[#This Row],[MW Proyectada (Barra A)]]+Table110[[#This Row],[MW Proyectada (Barra B)]]</f>
        <v>#N/A</v>
      </c>
      <c r="L209" s="53" t="e">
        <f t="shared" si="9"/>
        <v>#N/A</v>
      </c>
      <c r="M209" s="53" t="e">
        <f>IF(Table110[[#This Row],[TOTAL MW]]&lt;165,Table110[[#This Row],[MW Proyectada (Barra A)]],Table110[[#This Row],[MW Proyectada (Barra A)]]*165/Table110[[#This Row],[TOTAL MW]])</f>
        <v>#N/A</v>
      </c>
      <c r="N209" s="53" t="e">
        <f>IF(Table110[[#This Row],[TOTAL MW]]&lt;165,Table110[[#This Row],[MW Proyectada (Barra B)]],Table110[[#This Row],[MW Proyectada (Barra B)]]*165/Table110[[#This Row],[TOTAL MW]])</f>
        <v>#N/A</v>
      </c>
      <c r="P209" s="90"/>
      <c r="Q209" s="90"/>
      <c r="R209" s="93"/>
      <c r="S209" s="93"/>
    </row>
    <row r="210" spans="2:19" x14ac:dyDescent="0.25">
      <c r="B210" s="91">
        <f t="shared" si="10"/>
        <v>45591.708333332834</v>
      </c>
      <c r="C210" s="52">
        <f t="shared" si="11"/>
        <v>8.7083333333333446</v>
      </c>
      <c r="D210" s="92">
        <f>Table110[[#This Row],[Fecha]]</f>
        <v>45591.708333332834</v>
      </c>
      <c r="E210" s="53" t="e">
        <f>VLOOKUP(Table110[[#This Row],[FECHA /HORA]],TBL_CalcDarwin[],7,0)</f>
        <v>#N/A</v>
      </c>
      <c r="F210" s="53" t="e">
        <f>VLOOKUP(Table110[[#This Row],[FECHA /HORA]],TBL_CalcDarwin[],42,0)</f>
        <v>#N/A</v>
      </c>
      <c r="G210" s="53" t="e">
        <f>VLOOKUP(Table110[[#This Row],[FECHA /HORA]],TBL_CalcDarwin[],43,0)</f>
        <v>#N/A</v>
      </c>
      <c r="H210" s="53" t="e">
        <f>VLOOKUP(Table110[[#This Row],[FECHA /HORA]],TBL_CalcDarwin[],40,0)</f>
        <v>#N/A</v>
      </c>
      <c r="I210" s="53" t="e">
        <f>VLOOKUP(Table110[[#This Row],[FECHA /HORA]],TBL_CalcDarwin[],41,0)</f>
        <v>#N/A</v>
      </c>
      <c r="J210" s="53" t="e">
        <f>Table110[[#This Row],[MW Proyectada (Barra A)]]+Table110[[#This Row],[MW Proyectada (Barra B)]]</f>
        <v>#N/A</v>
      </c>
      <c r="L210" s="53" t="e">
        <f t="shared" si="9"/>
        <v>#N/A</v>
      </c>
      <c r="M210" s="53" t="e">
        <f>IF(Table110[[#This Row],[TOTAL MW]]&lt;165,Table110[[#This Row],[MW Proyectada (Barra A)]],Table110[[#This Row],[MW Proyectada (Barra A)]]*165/Table110[[#This Row],[TOTAL MW]])</f>
        <v>#N/A</v>
      </c>
      <c r="N210" s="53" t="e">
        <f>IF(Table110[[#This Row],[TOTAL MW]]&lt;165,Table110[[#This Row],[MW Proyectada (Barra B)]],Table110[[#This Row],[MW Proyectada (Barra B)]]*165/Table110[[#This Row],[TOTAL MW]])</f>
        <v>#N/A</v>
      </c>
      <c r="P210" s="90"/>
      <c r="Q210" s="90"/>
      <c r="R210" s="93"/>
      <c r="S210" s="93"/>
    </row>
    <row r="211" spans="2:19" x14ac:dyDescent="0.25">
      <c r="B211" s="91">
        <f t="shared" si="10"/>
        <v>45591.749999999498</v>
      </c>
      <c r="C211" s="52">
        <f t="shared" si="11"/>
        <v>8.7500000000000107</v>
      </c>
      <c r="D211" s="92">
        <f>Table110[[#This Row],[Fecha]]</f>
        <v>45591.749999999498</v>
      </c>
      <c r="E211" s="53" t="e">
        <f>VLOOKUP(Table110[[#This Row],[FECHA /HORA]],TBL_CalcDarwin[],7,0)</f>
        <v>#N/A</v>
      </c>
      <c r="F211" s="53" t="e">
        <f>VLOOKUP(Table110[[#This Row],[FECHA /HORA]],TBL_CalcDarwin[],42,0)</f>
        <v>#N/A</v>
      </c>
      <c r="G211" s="53" t="e">
        <f>VLOOKUP(Table110[[#This Row],[FECHA /HORA]],TBL_CalcDarwin[],43,0)</f>
        <v>#N/A</v>
      </c>
      <c r="H211" s="53" t="e">
        <f>VLOOKUP(Table110[[#This Row],[FECHA /HORA]],TBL_CalcDarwin[],40,0)</f>
        <v>#N/A</v>
      </c>
      <c r="I211" s="53" t="e">
        <f>VLOOKUP(Table110[[#This Row],[FECHA /HORA]],TBL_CalcDarwin[],41,0)</f>
        <v>#N/A</v>
      </c>
      <c r="J211" s="53" t="e">
        <f>Table110[[#This Row],[MW Proyectada (Barra A)]]+Table110[[#This Row],[MW Proyectada (Barra B)]]</f>
        <v>#N/A</v>
      </c>
      <c r="L211" s="53" t="e">
        <f t="shared" si="9"/>
        <v>#N/A</v>
      </c>
      <c r="M211" s="53" t="e">
        <f>IF(Table110[[#This Row],[TOTAL MW]]&lt;165,Table110[[#This Row],[MW Proyectada (Barra A)]],Table110[[#This Row],[MW Proyectada (Barra A)]]*165/Table110[[#This Row],[TOTAL MW]])</f>
        <v>#N/A</v>
      </c>
      <c r="N211" s="53" t="e">
        <f>IF(Table110[[#This Row],[TOTAL MW]]&lt;165,Table110[[#This Row],[MW Proyectada (Barra B)]],Table110[[#This Row],[MW Proyectada (Barra B)]]*165/Table110[[#This Row],[TOTAL MW]])</f>
        <v>#N/A</v>
      </c>
      <c r="P211" s="90"/>
      <c r="Q211" s="90"/>
      <c r="R211" s="93"/>
      <c r="S211" s="93"/>
    </row>
    <row r="212" spans="2:19" x14ac:dyDescent="0.25">
      <c r="B212" s="91">
        <f t="shared" si="10"/>
        <v>45591.791666666162</v>
      </c>
      <c r="C212" s="52">
        <f t="shared" si="11"/>
        <v>8.7916666666666767</v>
      </c>
      <c r="D212" s="92">
        <f>Table110[[#This Row],[Fecha]]</f>
        <v>45591.791666666162</v>
      </c>
      <c r="E212" s="53" t="e">
        <f>VLOOKUP(Table110[[#This Row],[FECHA /HORA]],TBL_CalcDarwin[],7,0)</f>
        <v>#N/A</v>
      </c>
      <c r="F212" s="53" t="e">
        <f>VLOOKUP(Table110[[#This Row],[FECHA /HORA]],TBL_CalcDarwin[],42,0)</f>
        <v>#N/A</v>
      </c>
      <c r="G212" s="53" t="e">
        <f>VLOOKUP(Table110[[#This Row],[FECHA /HORA]],TBL_CalcDarwin[],43,0)</f>
        <v>#N/A</v>
      </c>
      <c r="H212" s="53" t="e">
        <f>VLOOKUP(Table110[[#This Row],[FECHA /HORA]],TBL_CalcDarwin[],40,0)</f>
        <v>#N/A</v>
      </c>
      <c r="I212" s="53" t="e">
        <f>VLOOKUP(Table110[[#This Row],[FECHA /HORA]],TBL_CalcDarwin[],41,0)</f>
        <v>#N/A</v>
      </c>
      <c r="J212" s="53" t="e">
        <f>Table110[[#This Row],[MW Proyectada (Barra A)]]+Table110[[#This Row],[MW Proyectada (Barra B)]]</f>
        <v>#N/A</v>
      </c>
      <c r="L212" s="53" t="e">
        <f t="shared" si="9"/>
        <v>#N/A</v>
      </c>
      <c r="M212" s="53" t="e">
        <f>IF(Table110[[#This Row],[TOTAL MW]]&lt;165,Table110[[#This Row],[MW Proyectada (Barra A)]],Table110[[#This Row],[MW Proyectada (Barra A)]]*165/Table110[[#This Row],[TOTAL MW]])</f>
        <v>#N/A</v>
      </c>
      <c r="N212" s="53" t="e">
        <f>IF(Table110[[#This Row],[TOTAL MW]]&lt;165,Table110[[#This Row],[MW Proyectada (Barra B)]],Table110[[#This Row],[MW Proyectada (Barra B)]]*165/Table110[[#This Row],[TOTAL MW]])</f>
        <v>#N/A</v>
      </c>
      <c r="P212" s="90"/>
      <c r="Q212" s="90"/>
      <c r="R212" s="93"/>
      <c r="S212" s="93"/>
    </row>
    <row r="213" spans="2:19" x14ac:dyDescent="0.25">
      <c r="B213" s="91">
        <f t="shared" si="10"/>
        <v>45591.833333332826</v>
      </c>
      <c r="C213" s="52">
        <f t="shared" si="11"/>
        <v>8.8333333333333428</v>
      </c>
      <c r="D213" s="92">
        <f>Table110[[#This Row],[Fecha]]</f>
        <v>45591.833333332826</v>
      </c>
      <c r="E213" s="53" t="e">
        <f>VLOOKUP(Table110[[#This Row],[FECHA /HORA]],TBL_CalcDarwin[],7,0)</f>
        <v>#N/A</v>
      </c>
      <c r="F213" s="53" t="e">
        <f>VLOOKUP(Table110[[#This Row],[FECHA /HORA]],TBL_CalcDarwin[],42,0)</f>
        <v>#N/A</v>
      </c>
      <c r="G213" s="53" t="e">
        <f>VLOOKUP(Table110[[#This Row],[FECHA /HORA]],TBL_CalcDarwin[],43,0)</f>
        <v>#N/A</v>
      </c>
      <c r="H213" s="53" t="e">
        <f>VLOOKUP(Table110[[#This Row],[FECHA /HORA]],TBL_CalcDarwin[],40,0)</f>
        <v>#N/A</v>
      </c>
      <c r="I213" s="53" t="e">
        <f>VLOOKUP(Table110[[#This Row],[FECHA /HORA]],TBL_CalcDarwin[],41,0)</f>
        <v>#N/A</v>
      </c>
      <c r="J213" s="53" t="e">
        <f>Table110[[#This Row],[MW Proyectada (Barra A)]]+Table110[[#This Row],[MW Proyectada (Barra B)]]</f>
        <v>#N/A</v>
      </c>
      <c r="L213" s="53" t="e">
        <f t="shared" si="9"/>
        <v>#N/A</v>
      </c>
      <c r="M213" s="53" t="e">
        <f>IF(Table110[[#This Row],[TOTAL MW]]&lt;165,Table110[[#This Row],[MW Proyectada (Barra A)]],Table110[[#This Row],[MW Proyectada (Barra A)]]*165/Table110[[#This Row],[TOTAL MW]])</f>
        <v>#N/A</v>
      </c>
      <c r="N213" s="53" t="e">
        <f>IF(Table110[[#This Row],[TOTAL MW]]&lt;165,Table110[[#This Row],[MW Proyectada (Barra B)]],Table110[[#This Row],[MW Proyectada (Barra B)]]*165/Table110[[#This Row],[TOTAL MW]])</f>
        <v>#N/A</v>
      </c>
      <c r="P213" s="90"/>
      <c r="Q213" s="90"/>
      <c r="R213" s="93"/>
      <c r="S213" s="93"/>
    </row>
    <row r="214" spans="2:19" x14ac:dyDescent="0.25">
      <c r="B214" s="91">
        <f t="shared" si="10"/>
        <v>45591.874999999491</v>
      </c>
      <c r="C214" s="52">
        <f t="shared" si="11"/>
        <v>8.8750000000000089</v>
      </c>
      <c r="D214" s="92">
        <f>Table110[[#This Row],[Fecha]]</f>
        <v>45591.874999999491</v>
      </c>
      <c r="E214" s="53" t="e">
        <f>VLOOKUP(Table110[[#This Row],[FECHA /HORA]],TBL_CalcDarwin[],7,0)</f>
        <v>#N/A</v>
      </c>
      <c r="F214" s="53" t="e">
        <f>VLOOKUP(Table110[[#This Row],[FECHA /HORA]],TBL_CalcDarwin[],42,0)</f>
        <v>#N/A</v>
      </c>
      <c r="G214" s="53" t="e">
        <f>VLOOKUP(Table110[[#This Row],[FECHA /HORA]],TBL_CalcDarwin[],43,0)</f>
        <v>#N/A</v>
      </c>
      <c r="H214" s="53" t="e">
        <f>VLOOKUP(Table110[[#This Row],[FECHA /HORA]],TBL_CalcDarwin[],40,0)</f>
        <v>#N/A</v>
      </c>
      <c r="I214" s="53" t="e">
        <f>VLOOKUP(Table110[[#This Row],[FECHA /HORA]],TBL_CalcDarwin[],41,0)</f>
        <v>#N/A</v>
      </c>
      <c r="J214" s="53" t="e">
        <f>Table110[[#This Row],[MW Proyectada (Barra A)]]+Table110[[#This Row],[MW Proyectada (Barra B)]]</f>
        <v>#N/A</v>
      </c>
      <c r="L214" s="53" t="e">
        <f t="shared" si="9"/>
        <v>#N/A</v>
      </c>
      <c r="M214" s="53" t="e">
        <f>IF(Table110[[#This Row],[TOTAL MW]]&lt;165,Table110[[#This Row],[MW Proyectada (Barra A)]],Table110[[#This Row],[MW Proyectada (Barra A)]]*165/Table110[[#This Row],[TOTAL MW]])</f>
        <v>#N/A</v>
      </c>
      <c r="N214" s="53" t="e">
        <f>IF(Table110[[#This Row],[TOTAL MW]]&lt;165,Table110[[#This Row],[MW Proyectada (Barra B)]],Table110[[#This Row],[MW Proyectada (Barra B)]]*165/Table110[[#This Row],[TOTAL MW]])</f>
        <v>#N/A</v>
      </c>
      <c r="P214" s="90"/>
      <c r="Q214" s="90"/>
      <c r="R214" s="93"/>
      <c r="S214" s="93"/>
    </row>
    <row r="215" spans="2:19" x14ac:dyDescent="0.25">
      <c r="B215" s="91">
        <f t="shared" si="10"/>
        <v>45591.916666666155</v>
      </c>
      <c r="C215" s="52">
        <f t="shared" si="11"/>
        <v>8.916666666666675</v>
      </c>
      <c r="D215" s="92">
        <f>Table110[[#This Row],[Fecha]]</f>
        <v>45591.916666666155</v>
      </c>
      <c r="E215" s="53" t="e">
        <f>VLOOKUP(Table110[[#This Row],[FECHA /HORA]],TBL_CalcDarwin[],7,0)</f>
        <v>#N/A</v>
      </c>
      <c r="F215" s="53" t="e">
        <f>VLOOKUP(Table110[[#This Row],[FECHA /HORA]],TBL_CalcDarwin[],42,0)</f>
        <v>#N/A</v>
      </c>
      <c r="G215" s="53" t="e">
        <f>VLOOKUP(Table110[[#This Row],[FECHA /HORA]],TBL_CalcDarwin[],43,0)</f>
        <v>#N/A</v>
      </c>
      <c r="H215" s="53" t="e">
        <f>VLOOKUP(Table110[[#This Row],[FECHA /HORA]],TBL_CalcDarwin[],40,0)</f>
        <v>#N/A</v>
      </c>
      <c r="I215" s="53" t="e">
        <f>VLOOKUP(Table110[[#This Row],[FECHA /HORA]],TBL_CalcDarwin[],41,0)</f>
        <v>#N/A</v>
      </c>
      <c r="J215" s="53" t="e">
        <f>Table110[[#This Row],[MW Proyectada (Barra A)]]+Table110[[#This Row],[MW Proyectada (Barra B)]]</f>
        <v>#N/A</v>
      </c>
      <c r="L215" s="53" t="e">
        <f t="shared" si="9"/>
        <v>#N/A</v>
      </c>
      <c r="M215" s="53" t="e">
        <f>IF(Table110[[#This Row],[TOTAL MW]]&lt;165,Table110[[#This Row],[MW Proyectada (Barra A)]],Table110[[#This Row],[MW Proyectada (Barra A)]]*165/Table110[[#This Row],[TOTAL MW]])</f>
        <v>#N/A</v>
      </c>
      <c r="N215" s="53" t="e">
        <f>IF(Table110[[#This Row],[TOTAL MW]]&lt;165,Table110[[#This Row],[MW Proyectada (Barra B)]],Table110[[#This Row],[MW Proyectada (Barra B)]]*165/Table110[[#This Row],[TOTAL MW]])</f>
        <v>#N/A</v>
      </c>
      <c r="P215" s="90"/>
      <c r="Q215" s="90"/>
      <c r="R215" s="93"/>
      <c r="S215" s="93"/>
    </row>
    <row r="216" spans="2:19" x14ac:dyDescent="0.25">
      <c r="B216" s="91">
        <f t="shared" si="10"/>
        <v>45591.958333332819</v>
      </c>
      <c r="C216" s="52">
        <f t="shared" si="11"/>
        <v>8.958333333333341</v>
      </c>
      <c r="D216" s="92">
        <f>Table110[[#This Row],[Fecha]]</f>
        <v>45591.958333332819</v>
      </c>
      <c r="E216" s="53" t="e">
        <f>VLOOKUP(Table110[[#This Row],[FECHA /HORA]],TBL_CalcDarwin[],7,0)</f>
        <v>#N/A</v>
      </c>
      <c r="F216" s="53" t="e">
        <f>VLOOKUP(Table110[[#This Row],[FECHA /HORA]],TBL_CalcDarwin[],42,0)</f>
        <v>#N/A</v>
      </c>
      <c r="G216" s="53" t="e">
        <f>VLOOKUP(Table110[[#This Row],[FECHA /HORA]],TBL_CalcDarwin[],43,0)</f>
        <v>#N/A</v>
      </c>
      <c r="H216" s="53" t="e">
        <f>VLOOKUP(Table110[[#This Row],[FECHA /HORA]],TBL_CalcDarwin[],40,0)</f>
        <v>#N/A</v>
      </c>
      <c r="I216" s="53" t="e">
        <f>VLOOKUP(Table110[[#This Row],[FECHA /HORA]],TBL_CalcDarwin[],41,0)</f>
        <v>#N/A</v>
      </c>
      <c r="J216" s="53" t="e">
        <f>Table110[[#This Row],[MW Proyectada (Barra A)]]+Table110[[#This Row],[MW Proyectada (Barra B)]]</f>
        <v>#N/A</v>
      </c>
      <c r="L216" s="53" t="e">
        <f t="shared" si="9"/>
        <v>#N/A</v>
      </c>
      <c r="M216" s="53" t="e">
        <f>IF(Table110[[#This Row],[TOTAL MW]]&lt;165,Table110[[#This Row],[MW Proyectada (Barra A)]],Table110[[#This Row],[MW Proyectada (Barra A)]]*165/Table110[[#This Row],[TOTAL MW]])</f>
        <v>#N/A</v>
      </c>
      <c r="N216" s="53" t="e">
        <f>IF(Table110[[#This Row],[TOTAL MW]]&lt;165,Table110[[#This Row],[MW Proyectada (Barra B)]],Table110[[#This Row],[MW Proyectada (Barra B)]]*165/Table110[[#This Row],[TOTAL MW]])</f>
        <v>#N/A</v>
      </c>
      <c r="P216" s="90"/>
      <c r="Q216" s="90"/>
      <c r="R216" s="93"/>
      <c r="S216" s="93"/>
    </row>
    <row r="217" spans="2:19" x14ac:dyDescent="0.25">
      <c r="B217" s="91">
        <f t="shared" si="10"/>
        <v>45591.999999999483</v>
      </c>
      <c r="C217" s="52">
        <f t="shared" si="11"/>
        <v>9.0000000000000071</v>
      </c>
      <c r="D217" s="92">
        <f>Table110[[#This Row],[Fecha]]</f>
        <v>45591.999999999483</v>
      </c>
      <c r="E217" s="53" t="e">
        <f>VLOOKUP(Table110[[#This Row],[FECHA /HORA]],TBL_CalcDarwin[],7,0)</f>
        <v>#N/A</v>
      </c>
      <c r="F217" s="53" t="e">
        <f>VLOOKUP(Table110[[#This Row],[FECHA /HORA]],TBL_CalcDarwin[],42,0)</f>
        <v>#N/A</v>
      </c>
      <c r="G217" s="53" t="e">
        <f>VLOOKUP(Table110[[#This Row],[FECHA /HORA]],TBL_CalcDarwin[],43,0)</f>
        <v>#N/A</v>
      </c>
      <c r="H217" s="53" t="e">
        <f>VLOOKUP(Table110[[#This Row],[FECHA /HORA]],TBL_CalcDarwin[],40,0)</f>
        <v>#N/A</v>
      </c>
      <c r="I217" s="53" t="e">
        <f>VLOOKUP(Table110[[#This Row],[FECHA /HORA]],TBL_CalcDarwin[],41,0)</f>
        <v>#N/A</v>
      </c>
      <c r="J217" s="53" t="e">
        <f>Table110[[#This Row],[MW Proyectada (Barra A)]]+Table110[[#This Row],[MW Proyectada (Barra B)]]</f>
        <v>#N/A</v>
      </c>
      <c r="L217" s="53" t="e">
        <f t="shared" si="9"/>
        <v>#N/A</v>
      </c>
      <c r="M217" s="53" t="e">
        <f>IF(Table110[[#This Row],[TOTAL MW]]&lt;165,Table110[[#This Row],[MW Proyectada (Barra A)]],Table110[[#This Row],[MW Proyectada (Barra A)]]*165/Table110[[#This Row],[TOTAL MW]])</f>
        <v>#N/A</v>
      </c>
      <c r="N217" s="53" t="e">
        <f>IF(Table110[[#This Row],[TOTAL MW]]&lt;165,Table110[[#This Row],[MW Proyectada (Barra B)]],Table110[[#This Row],[MW Proyectada (Barra B)]]*165/Table110[[#This Row],[TOTAL MW]])</f>
        <v>#N/A</v>
      </c>
      <c r="P217" s="90"/>
      <c r="Q217" s="90"/>
      <c r="R217" s="93"/>
      <c r="S217" s="93"/>
    </row>
    <row r="218" spans="2:19" x14ac:dyDescent="0.25">
      <c r="B218" s="91">
        <f t="shared" si="10"/>
        <v>45592.041666666148</v>
      </c>
      <c r="C218" s="52">
        <f t="shared" si="11"/>
        <v>9.0416666666666732</v>
      </c>
      <c r="D218" s="92">
        <f>Table110[[#This Row],[Fecha]]</f>
        <v>45592.041666666148</v>
      </c>
      <c r="E218" s="53" t="e">
        <f>VLOOKUP(Table110[[#This Row],[FECHA /HORA]],TBL_CalcDarwin[],7,0)</f>
        <v>#N/A</v>
      </c>
      <c r="F218" s="53" t="e">
        <f>VLOOKUP(Table110[[#This Row],[FECHA /HORA]],TBL_CalcDarwin[],42,0)</f>
        <v>#N/A</v>
      </c>
      <c r="G218" s="53" t="e">
        <f>VLOOKUP(Table110[[#This Row],[FECHA /HORA]],TBL_CalcDarwin[],43,0)</f>
        <v>#N/A</v>
      </c>
      <c r="H218" s="53" t="e">
        <f>VLOOKUP(Table110[[#This Row],[FECHA /HORA]],TBL_CalcDarwin[],40,0)</f>
        <v>#N/A</v>
      </c>
      <c r="I218" s="53" t="e">
        <f>VLOOKUP(Table110[[#This Row],[FECHA /HORA]],TBL_CalcDarwin[],41,0)</f>
        <v>#N/A</v>
      </c>
      <c r="J218" s="53" t="e">
        <f>Table110[[#This Row],[MW Proyectada (Barra A)]]+Table110[[#This Row],[MW Proyectada (Barra B)]]</f>
        <v>#N/A</v>
      </c>
      <c r="L218" s="53" t="e">
        <f t="shared" si="9"/>
        <v>#N/A</v>
      </c>
      <c r="M218" s="53" t="e">
        <f>IF(Table110[[#This Row],[TOTAL MW]]&lt;165,Table110[[#This Row],[MW Proyectada (Barra A)]],Table110[[#This Row],[MW Proyectada (Barra A)]]*165/Table110[[#This Row],[TOTAL MW]])</f>
        <v>#N/A</v>
      </c>
      <c r="N218" s="53" t="e">
        <f>IF(Table110[[#This Row],[TOTAL MW]]&lt;165,Table110[[#This Row],[MW Proyectada (Barra B)]],Table110[[#This Row],[MW Proyectada (Barra B)]]*165/Table110[[#This Row],[TOTAL MW]])</f>
        <v>#N/A</v>
      </c>
      <c r="P218" s="90"/>
      <c r="Q218" s="90"/>
      <c r="R218" s="93"/>
      <c r="S218" s="93"/>
    </row>
    <row r="219" spans="2:19" x14ac:dyDescent="0.25">
      <c r="B219" s="91">
        <f t="shared" si="10"/>
        <v>45592.083333332812</v>
      </c>
      <c r="C219" s="52">
        <f t="shared" si="11"/>
        <v>9.0833333333333393</v>
      </c>
      <c r="D219" s="92">
        <f>Table110[[#This Row],[Fecha]]</f>
        <v>45592.083333332812</v>
      </c>
      <c r="E219" s="53" t="e">
        <f>VLOOKUP(Table110[[#This Row],[FECHA /HORA]],TBL_CalcDarwin[],7,0)</f>
        <v>#N/A</v>
      </c>
      <c r="F219" s="53" t="e">
        <f>VLOOKUP(Table110[[#This Row],[FECHA /HORA]],TBL_CalcDarwin[],42,0)</f>
        <v>#N/A</v>
      </c>
      <c r="G219" s="53" t="e">
        <f>VLOOKUP(Table110[[#This Row],[FECHA /HORA]],TBL_CalcDarwin[],43,0)</f>
        <v>#N/A</v>
      </c>
      <c r="H219" s="53" t="e">
        <f>VLOOKUP(Table110[[#This Row],[FECHA /HORA]],TBL_CalcDarwin[],40,0)</f>
        <v>#N/A</v>
      </c>
      <c r="I219" s="53" t="e">
        <f>VLOOKUP(Table110[[#This Row],[FECHA /HORA]],TBL_CalcDarwin[],41,0)</f>
        <v>#N/A</v>
      </c>
      <c r="J219" s="53" t="e">
        <f>Table110[[#This Row],[MW Proyectada (Barra A)]]+Table110[[#This Row],[MW Proyectada (Barra B)]]</f>
        <v>#N/A</v>
      </c>
      <c r="L219" s="53" t="e">
        <f t="shared" si="9"/>
        <v>#N/A</v>
      </c>
      <c r="M219" s="53" t="e">
        <f>IF(Table110[[#This Row],[TOTAL MW]]&lt;165,Table110[[#This Row],[MW Proyectada (Barra A)]],Table110[[#This Row],[MW Proyectada (Barra A)]]*165/Table110[[#This Row],[TOTAL MW]])</f>
        <v>#N/A</v>
      </c>
      <c r="N219" s="53" t="e">
        <f>IF(Table110[[#This Row],[TOTAL MW]]&lt;165,Table110[[#This Row],[MW Proyectada (Barra B)]],Table110[[#This Row],[MW Proyectada (Barra B)]]*165/Table110[[#This Row],[TOTAL MW]])</f>
        <v>#N/A</v>
      </c>
      <c r="P219" s="90"/>
      <c r="Q219" s="90"/>
      <c r="R219" s="93"/>
      <c r="S219" s="93"/>
    </row>
    <row r="220" spans="2:19" x14ac:dyDescent="0.25">
      <c r="B220" s="91">
        <f t="shared" si="10"/>
        <v>45592.124999999476</v>
      </c>
      <c r="C220" s="52">
        <f t="shared" si="11"/>
        <v>9.1250000000000053</v>
      </c>
      <c r="D220" s="92">
        <f>Table110[[#This Row],[Fecha]]</f>
        <v>45592.124999999476</v>
      </c>
      <c r="E220" s="53" t="e">
        <f>VLOOKUP(Table110[[#This Row],[FECHA /HORA]],TBL_CalcDarwin[],7,0)</f>
        <v>#N/A</v>
      </c>
      <c r="F220" s="53" t="e">
        <f>VLOOKUP(Table110[[#This Row],[FECHA /HORA]],TBL_CalcDarwin[],42,0)</f>
        <v>#N/A</v>
      </c>
      <c r="G220" s="53" t="e">
        <f>VLOOKUP(Table110[[#This Row],[FECHA /HORA]],TBL_CalcDarwin[],43,0)</f>
        <v>#N/A</v>
      </c>
      <c r="H220" s="53" t="e">
        <f>VLOOKUP(Table110[[#This Row],[FECHA /HORA]],TBL_CalcDarwin[],40,0)</f>
        <v>#N/A</v>
      </c>
      <c r="I220" s="53" t="e">
        <f>VLOOKUP(Table110[[#This Row],[FECHA /HORA]],TBL_CalcDarwin[],41,0)</f>
        <v>#N/A</v>
      </c>
      <c r="J220" s="53" t="e">
        <f>Table110[[#This Row],[MW Proyectada (Barra A)]]+Table110[[#This Row],[MW Proyectada (Barra B)]]</f>
        <v>#N/A</v>
      </c>
      <c r="L220" s="53" t="e">
        <f t="shared" si="9"/>
        <v>#N/A</v>
      </c>
      <c r="M220" s="53" t="e">
        <f>IF(Table110[[#This Row],[TOTAL MW]]&lt;165,Table110[[#This Row],[MW Proyectada (Barra A)]],Table110[[#This Row],[MW Proyectada (Barra A)]]*165/Table110[[#This Row],[TOTAL MW]])</f>
        <v>#N/A</v>
      </c>
      <c r="N220" s="53" t="e">
        <f>IF(Table110[[#This Row],[TOTAL MW]]&lt;165,Table110[[#This Row],[MW Proyectada (Barra B)]],Table110[[#This Row],[MW Proyectada (Barra B)]]*165/Table110[[#This Row],[TOTAL MW]])</f>
        <v>#N/A</v>
      </c>
      <c r="P220" s="90"/>
      <c r="Q220" s="90"/>
      <c r="R220" s="93"/>
      <c r="S220" s="93"/>
    </row>
    <row r="221" spans="2:19" x14ac:dyDescent="0.25">
      <c r="B221" s="91">
        <f t="shared" si="10"/>
        <v>45592.16666666614</v>
      </c>
      <c r="C221" s="52">
        <f t="shared" si="11"/>
        <v>9.1666666666666714</v>
      </c>
      <c r="D221" s="92">
        <f>Table110[[#This Row],[Fecha]]</f>
        <v>45592.16666666614</v>
      </c>
      <c r="E221" s="53" t="e">
        <f>VLOOKUP(Table110[[#This Row],[FECHA /HORA]],TBL_CalcDarwin[],7,0)</f>
        <v>#N/A</v>
      </c>
      <c r="F221" s="53" t="e">
        <f>VLOOKUP(Table110[[#This Row],[FECHA /HORA]],TBL_CalcDarwin[],42,0)</f>
        <v>#N/A</v>
      </c>
      <c r="G221" s="53" t="e">
        <f>VLOOKUP(Table110[[#This Row],[FECHA /HORA]],TBL_CalcDarwin[],43,0)</f>
        <v>#N/A</v>
      </c>
      <c r="H221" s="53" t="e">
        <f>VLOOKUP(Table110[[#This Row],[FECHA /HORA]],TBL_CalcDarwin[],40,0)</f>
        <v>#N/A</v>
      </c>
      <c r="I221" s="53" t="e">
        <f>VLOOKUP(Table110[[#This Row],[FECHA /HORA]],TBL_CalcDarwin[],41,0)</f>
        <v>#N/A</v>
      </c>
      <c r="J221" s="53" t="e">
        <f>Table110[[#This Row],[MW Proyectada (Barra A)]]+Table110[[#This Row],[MW Proyectada (Barra B)]]</f>
        <v>#N/A</v>
      </c>
      <c r="L221" s="53" t="e">
        <f t="shared" si="9"/>
        <v>#N/A</v>
      </c>
      <c r="M221" s="53" t="e">
        <f>IF(Table110[[#This Row],[TOTAL MW]]&lt;165,Table110[[#This Row],[MW Proyectada (Barra A)]],Table110[[#This Row],[MW Proyectada (Barra A)]]*165/Table110[[#This Row],[TOTAL MW]])</f>
        <v>#N/A</v>
      </c>
      <c r="N221" s="53" t="e">
        <f>IF(Table110[[#This Row],[TOTAL MW]]&lt;165,Table110[[#This Row],[MW Proyectada (Barra B)]],Table110[[#This Row],[MW Proyectada (Barra B)]]*165/Table110[[#This Row],[TOTAL MW]])</f>
        <v>#N/A</v>
      </c>
      <c r="P221" s="90"/>
      <c r="Q221" s="90"/>
      <c r="R221" s="93"/>
      <c r="S221" s="93"/>
    </row>
    <row r="222" spans="2:19" x14ac:dyDescent="0.25">
      <c r="B222" s="91">
        <f t="shared" si="10"/>
        <v>45592.208333332805</v>
      </c>
      <c r="C222" s="52">
        <f t="shared" si="11"/>
        <v>9.2083333333333375</v>
      </c>
      <c r="D222" s="92">
        <f>Table110[[#This Row],[Fecha]]</f>
        <v>45592.208333332805</v>
      </c>
      <c r="E222" s="53" t="e">
        <f>VLOOKUP(Table110[[#This Row],[FECHA /HORA]],TBL_CalcDarwin[],7,0)</f>
        <v>#N/A</v>
      </c>
      <c r="F222" s="53" t="e">
        <f>VLOOKUP(Table110[[#This Row],[FECHA /HORA]],TBL_CalcDarwin[],42,0)</f>
        <v>#N/A</v>
      </c>
      <c r="G222" s="53" t="e">
        <f>VLOOKUP(Table110[[#This Row],[FECHA /HORA]],TBL_CalcDarwin[],43,0)</f>
        <v>#N/A</v>
      </c>
      <c r="H222" s="53" t="e">
        <f>VLOOKUP(Table110[[#This Row],[FECHA /HORA]],TBL_CalcDarwin[],40,0)</f>
        <v>#N/A</v>
      </c>
      <c r="I222" s="53" t="e">
        <f>VLOOKUP(Table110[[#This Row],[FECHA /HORA]],TBL_CalcDarwin[],41,0)</f>
        <v>#N/A</v>
      </c>
      <c r="J222" s="53" t="e">
        <f>Table110[[#This Row],[MW Proyectada (Barra A)]]+Table110[[#This Row],[MW Proyectada (Barra B)]]</f>
        <v>#N/A</v>
      </c>
      <c r="L222" s="53" t="e">
        <f t="shared" si="9"/>
        <v>#N/A</v>
      </c>
      <c r="M222" s="53" t="e">
        <f>IF(Table110[[#This Row],[TOTAL MW]]&lt;165,Table110[[#This Row],[MW Proyectada (Barra A)]],Table110[[#This Row],[MW Proyectada (Barra A)]]*165/Table110[[#This Row],[TOTAL MW]])</f>
        <v>#N/A</v>
      </c>
      <c r="N222" s="53" t="e">
        <f>IF(Table110[[#This Row],[TOTAL MW]]&lt;165,Table110[[#This Row],[MW Proyectada (Barra B)]],Table110[[#This Row],[MW Proyectada (Barra B)]]*165/Table110[[#This Row],[TOTAL MW]])</f>
        <v>#N/A</v>
      </c>
      <c r="P222" s="90"/>
      <c r="Q222" s="90"/>
      <c r="R222" s="93"/>
      <c r="S222" s="93"/>
    </row>
    <row r="223" spans="2:19" x14ac:dyDescent="0.25">
      <c r="B223" s="91">
        <f t="shared" si="10"/>
        <v>45592.249999999469</v>
      </c>
      <c r="C223" s="52">
        <f t="shared" si="11"/>
        <v>9.2500000000000036</v>
      </c>
      <c r="D223" s="92">
        <f>Table110[[#This Row],[Fecha]]</f>
        <v>45592.249999999469</v>
      </c>
      <c r="E223" s="53" t="e">
        <f>VLOOKUP(Table110[[#This Row],[FECHA /HORA]],TBL_CalcDarwin[],7,0)</f>
        <v>#N/A</v>
      </c>
      <c r="F223" s="53" t="e">
        <f>VLOOKUP(Table110[[#This Row],[FECHA /HORA]],TBL_CalcDarwin[],42,0)</f>
        <v>#N/A</v>
      </c>
      <c r="G223" s="53" t="e">
        <f>VLOOKUP(Table110[[#This Row],[FECHA /HORA]],TBL_CalcDarwin[],43,0)</f>
        <v>#N/A</v>
      </c>
      <c r="H223" s="53" t="e">
        <f>VLOOKUP(Table110[[#This Row],[FECHA /HORA]],TBL_CalcDarwin[],40,0)</f>
        <v>#N/A</v>
      </c>
      <c r="I223" s="53" t="e">
        <f>VLOOKUP(Table110[[#This Row],[FECHA /HORA]],TBL_CalcDarwin[],41,0)</f>
        <v>#N/A</v>
      </c>
      <c r="J223" s="53" t="e">
        <f>Table110[[#This Row],[MW Proyectada (Barra A)]]+Table110[[#This Row],[MW Proyectada (Barra B)]]</f>
        <v>#N/A</v>
      </c>
      <c r="L223" s="53" t="e">
        <f t="shared" si="9"/>
        <v>#N/A</v>
      </c>
      <c r="M223" s="53" t="e">
        <f>IF(Table110[[#This Row],[TOTAL MW]]&lt;165,Table110[[#This Row],[MW Proyectada (Barra A)]],Table110[[#This Row],[MW Proyectada (Barra A)]]*165/Table110[[#This Row],[TOTAL MW]])</f>
        <v>#N/A</v>
      </c>
      <c r="N223" s="53" t="e">
        <f>IF(Table110[[#This Row],[TOTAL MW]]&lt;165,Table110[[#This Row],[MW Proyectada (Barra B)]],Table110[[#This Row],[MW Proyectada (Barra B)]]*165/Table110[[#This Row],[TOTAL MW]])</f>
        <v>#N/A</v>
      </c>
      <c r="P223" s="90"/>
      <c r="Q223" s="90"/>
      <c r="R223" s="93"/>
      <c r="S223" s="93"/>
    </row>
    <row r="224" spans="2:19" x14ac:dyDescent="0.25">
      <c r="B224" s="91">
        <f t="shared" si="10"/>
        <v>45592.291666666133</v>
      </c>
      <c r="C224" s="52">
        <f t="shared" si="11"/>
        <v>9.2916666666666696</v>
      </c>
      <c r="D224" s="92">
        <f>Table110[[#This Row],[Fecha]]</f>
        <v>45592.291666666133</v>
      </c>
      <c r="E224" s="53" t="e">
        <f>VLOOKUP(Table110[[#This Row],[FECHA /HORA]],TBL_CalcDarwin[],7,0)</f>
        <v>#N/A</v>
      </c>
      <c r="F224" s="53" t="e">
        <f>VLOOKUP(Table110[[#This Row],[FECHA /HORA]],TBL_CalcDarwin[],42,0)</f>
        <v>#N/A</v>
      </c>
      <c r="G224" s="53" t="e">
        <f>VLOOKUP(Table110[[#This Row],[FECHA /HORA]],TBL_CalcDarwin[],43,0)</f>
        <v>#N/A</v>
      </c>
      <c r="H224" s="53" t="e">
        <f>VLOOKUP(Table110[[#This Row],[FECHA /HORA]],TBL_CalcDarwin[],40,0)</f>
        <v>#N/A</v>
      </c>
      <c r="I224" s="53" t="e">
        <f>VLOOKUP(Table110[[#This Row],[FECHA /HORA]],TBL_CalcDarwin[],41,0)</f>
        <v>#N/A</v>
      </c>
      <c r="J224" s="53" t="e">
        <f>Table110[[#This Row],[MW Proyectada (Barra A)]]+Table110[[#This Row],[MW Proyectada (Barra B)]]</f>
        <v>#N/A</v>
      </c>
      <c r="L224" s="53" t="e">
        <f t="shared" si="9"/>
        <v>#N/A</v>
      </c>
      <c r="M224" s="53" t="e">
        <f>IF(Table110[[#This Row],[TOTAL MW]]&lt;165,Table110[[#This Row],[MW Proyectada (Barra A)]],Table110[[#This Row],[MW Proyectada (Barra A)]]*165/Table110[[#This Row],[TOTAL MW]])</f>
        <v>#N/A</v>
      </c>
      <c r="N224" s="53" t="e">
        <f>IF(Table110[[#This Row],[TOTAL MW]]&lt;165,Table110[[#This Row],[MW Proyectada (Barra B)]],Table110[[#This Row],[MW Proyectada (Barra B)]]*165/Table110[[#This Row],[TOTAL MW]])</f>
        <v>#N/A</v>
      </c>
      <c r="P224" s="90"/>
      <c r="Q224" s="90"/>
      <c r="R224" s="93"/>
      <c r="S224" s="93"/>
    </row>
    <row r="225" spans="2:19" x14ac:dyDescent="0.25">
      <c r="B225" s="91">
        <f t="shared" si="10"/>
        <v>45592.333333332797</v>
      </c>
      <c r="C225" s="52">
        <f t="shared" si="11"/>
        <v>9.3333333333333357</v>
      </c>
      <c r="D225" s="92">
        <f>Table110[[#This Row],[Fecha]]</f>
        <v>45592.333333332797</v>
      </c>
      <c r="E225" s="53" t="e">
        <f>VLOOKUP(Table110[[#This Row],[FECHA /HORA]],TBL_CalcDarwin[],7,0)</f>
        <v>#N/A</v>
      </c>
      <c r="F225" s="53" t="e">
        <f>VLOOKUP(Table110[[#This Row],[FECHA /HORA]],TBL_CalcDarwin[],42,0)</f>
        <v>#N/A</v>
      </c>
      <c r="G225" s="53" t="e">
        <f>VLOOKUP(Table110[[#This Row],[FECHA /HORA]],TBL_CalcDarwin[],43,0)</f>
        <v>#N/A</v>
      </c>
      <c r="H225" s="53" t="e">
        <f>VLOOKUP(Table110[[#This Row],[FECHA /HORA]],TBL_CalcDarwin[],40,0)</f>
        <v>#N/A</v>
      </c>
      <c r="I225" s="53" t="e">
        <f>VLOOKUP(Table110[[#This Row],[FECHA /HORA]],TBL_CalcDarwin[],41,0)</f>
        <v>#N/A</v>
      </c>
      <c r="J225" s="53" t="e">
        <f>Table110[[#This Row],[MW Proyectada (Barra A)]]+Table110[[#This Row],[MW Proyectada (Barra B)]]</f>
        <v>#N/A</v>
      </c>
      <c r="L225" s="53" t="e">
        <f t="shared" si="9"/>
        <v>#N/A</v>
      </c>
      <c r="M225" s="53" t="e">
        <f>IF(Table110[[#This Row],[TOTAL MW]]&lt;165,Table110[[#This Row],[MW Proyectada (Barra A)]],Table110[[#This Row],[MW Proyectada (Barra A)]]*165/Table110[[#This Row],[TOTAL MW]])</f>
        <v>#N/A</v>
      </c>
      <c r="N225" s="53" t="e">
        <f>IF(Table110[[#This Row],[TOTAL MW]]&lt;165,Table110[[#This Row],[MW Proyectada (Barra B)]],Table110[[#This Row],[MW Proyectada (Barra B)]]*165/Table110[[#This Row],[TOTAL MW]])</f>
        <v>#N/A</v>
      </c>
      <c r="P225" s="90"/>
      <c r="Q225" s="90"/>
      <c r="R225" s="93"/>
      <c r="S225" s="93"/>
    </row>
    <row r="226" spans="2:19" x14ac:dyDescent="0.25">
      <c r="B226" s="91">
        <f t="shared" si="10"/>
        <v>45592.374999999462</v>
      </c>
      <c r="C226" s="52">
        <f t="shared" si="11"/>
        <v>9.3750000000000018</v>
      </c>
      <c r="D226" s="92">
        <f>Table110[[#This Row],[Fecha]]</f>
        <v>45592.374999999462</v>
      </c>
      <c r="E226" s="53" t="e">
        <f>VLOOKUP(Table110[[#This Row],[FECHA /HORA]],TBL_CalcDarwin[],7,0)</f>
        <v>#N/A</v>
      </c>
      <c r="F226" s="53" t="e">
        <f>VLOOKUP(Table110[[#This Row],[FECHA /HORA]],TBL_CalcDarwin[],42,0)</f>
        <v>#N/A</v>
      </c>
      <c r="G226" s="53" t="e">
        <f>VLOOKUP(Table110[[#This Row],[FECHA /HORA]],TBL_CalcDarwin[],43,0)</f>
        <v>#N/A</v>
      </c>
      <c r="H226" s="53" t="e">
        <f>VLOOKUP(Table110[[#This Row],[FECHA /HORA]],TBL_CalcDarwin[],40,0)</f>
        <v>#N/A</v>
      </c>
      <c r="I226" s="53" t="e">
        <f>VLOOKUP(Table110[[#This Row],[FECHA /HORA]],TBL_CalcDarwin[],41,0)</f>
        <v>#N/A</v>
      </c>
      <c r="J226" s="53" t="e">
        <f>Table110[[#This Row],[MW Proyectada (Barra A)]]+Table110[[#This Row],[MW Proyectada (Barra B)]]</f>
        <v>#N/A</v>
      </c>
      <c r="L226" s="53" t="e">
        <f t="shared" si="9"/>
        <v>#N/A</v>
      </c>
      <c r="M226" s="53" t="e">
        <f>IF(Table110[[#This Row],[TOTAL MW]]&lt;165,Table110[[#This Row],[MW Proyectada (Barra A)]],Table110[[#This Row],[MW Proyectada (Barra A)]]*165/Table110[[#This Row],[TOTAL MW]])</f>
        <v>#N/A</v>
      </c>
      <c r="N226" s="53" t="e">
        <f>IF(Table110[[#This Row],[TOTAL MW]]&lt;165,Table110[[#This Row],[MW Proyectada (Barra B)]],Table110[[#This Row],[MW Proyectada (Barra B)]]*165/Table110[[#This Row],[TOTAL MW]])</f>
        <v>#N/A</v>
      </c>
      <c r="P226" s="90"/>
      <c r="Q226" s="90"/>
      <c r="R226" s="93"/>
      <c r="S226" s="93"/>
    </row>
    <row r="227" spans="2:19" x14ac:dyDescent="0.25">
      <c r="B227" s="91">
        <f t="shared" si="10"/>
        <v>45592.416666666126</v>
      </c>
      <c r="C227" s="52">
        <f t="shared" si="11"/>
        <v>9.4166666666666679</v>
      </c>
      <c r="D227" s="92">
        <f>Table110[[#This Row],[Fecha]]</f>
        <v>45592.416666666126</v>
      </c>
      <c r="E227" s="53" t="e">
        <f>VLOOKUP(Table110[[#This Row],[FECHA /HORA]],TBL_CalcDarwin[],7,0)</f>
        <v>#N/A</v>
      </c>
      <c r="F227" s="53" t="e">
        <f>VLOOKUP(Table110[[#This Row],[FECHA /HORA]],TBL_CalcDarwin[],42,0)</f>
        <v>#N/A</v>
      </c>
      <c r="G227" s="53" t="e">
        <f>VLOOKUP(Table110[[#This Row],[FECHA /HORA]],TBL_CalcDarwin[],43,0)</f>
        <v>#N/A</v>
      </c>
      <c r="H227" s="53" t="e">
        <f>VLOOKUP(Table110[[#This Row],[FECHA /HORA]],TBL_CalcDarwin[],40,0)</f>
        <v>#N/A</v>
      </c>
      <c r="I227" s="53" t="e">
        <f>VLOOKUP(Table110[[#This Row],[FECHA /HORA]],TBL_CalcDarwin[],41,0)</f>
        <v>#N/A</v>
      </c>
      <c r="J227" s="53" t="e">
        <f>Table110[[#This Row],[MW Proyectada (Barra A)]]+Table110[[#This Row],[MW Proyectada (Barra B)]]</f>
        <v>#N/A</v>
      </c>
      <c r="L227" s="53" t="e">
        <f t="shared" si="9"/>
        <v>#N/A</v>
      </c>
      <c r="M227" s="53" t="e">
        <f>IF(Table110[[#This Row],[TOTAL MW]]&lt;165,Table110[[#This Row],[MW Proyectada (Barra A)]],Table110[[#This Row],[MW Proyectada (Barra A)]]*165/Table110[[#This Row],[TOTAL MW]])</f>
        <v>#N/A</v>
      </c>
      <c r="N227" s="53" t="e">
        <f>IF(Table110[[#This Row],[TOTAL MW]]&lt;165,Table110[[#This Row],[MW Proyectada (Barra B)]],Table110[[#This Row],[MW Proyectada (Barra B)]]*165/Table110[[#This Row],[TOTAL MW]])</f>
        <v>#N/A</v>
      </c>
      <c r="P227" s="90"/>
      <c r="Q227" s="90"/>
      <c r="R227" s="93"/>
      <c r="S227" s="93"/>
    </row>
    <row r="228" spans="2:19" x14ac:dyDescent="0.25">
      <c r="B228" s="91">
        <f t="shared" si="10"/>
        <v>45592.45833333279</v>
      </c>
      <c r="C228" s="52">
        <f t="shared" si="11"/>
        <v>9.4583333333333339</v>
      </c>
      <c r="D228" s="92">
        <f>Table110[[#This Row],[Fecha]]</f>
        <v>45592.45833333279</v>
      </c>
      <c r="E228" s="53" t="e">
        <f>VLOOKUP(Table110[[#This Row],[FECHA /HORA]],TBL_CalcDarwin[],7,0)</f>
        <v>#N/A</v>
      </c>
      <c r="F228" s="53" t="e">
        <f>VLOOKUP(Table110[[#This Row],[FECHA /HORA]],TBL_CalcDarwin[],42,0)</f>
        <v>#N/A</v>
      </c>
      <c r="G228" s="53" t="e">
        <f>VLOOKUP(Table110[[#This Row],[FECHA /HORA]],TBL_CalcDarwin[],43,0)</f>
        <v>#N/A</v>
      </c>
      <c r="H228" s="53" t="e">
        <f>VLOOKUP(Table110[[#This Row],[FECHA /HORA]],TBL_CalcDarwin[],40,0)</f>
        <v>#N/A</v>
      </c>
      <c r="I228" s="53" t="e">
        <f>VLOOKUP(Table110[[#This Row],[FECHA /HORA]],TBL_CalcDarwin[],41,0)</f>
        <v>#N/A</v>
      </c>
      <c r="J228" s="53" t="e">
        <f>Table110[[#This Row],[MW Proyectada (Barra A)]]+Table110[[#This Row],[MW Proyectada (Barra B)]]</f>
        <v>#N/A</v>
      </c>
      <c r="L228" s="53" t="e">
        <f t="shared" si="9"/>
        <v>#N/A</v>
      </c>
      <c r="M228" s="53" t="e">
        <f>IF(Table110[[#This Row],[TOTAL MW]]&lt;165,Table110[[#This Row],[MW Proyectada (Barra A)]],Table110[[#This Row],[MW Proyectada (Barra A)]]*165/Table110[[#This Row],[TOTAL MW]])</f>
        <v>#N/A</v>
      </c>
      <c r="N228" s="53" t="e">
        <f>IF(Table110[[#This Row],[TOTAL MW]]&lt;165,Table110[[#This Row],[MW Proyectada (Barra B)]],Table110[[#This Row],[MW Proyectada (Barra B)]]*165/Table110[[#This Row],[TOTAL MW]])</f>
        <v>#N/A</v>
      </c>
      <c r="P228" s="90"/>
      <c r="Q228" s="90"/>
      <c r="R228" s="93"/>
      <c r="S228" s="93"/>
    </row>
  </sheetData>
  <pageMargins left="0.7" right="0.7" top="0.75" bottom="0.75" header="0.3" footer="0.3"/>
  <pageSetup orientation="portrait" r:id="rId1"/>
  <customProperties>
    <customPr name="_pios_id" r:id="rId2"/>
  </customProperties>
  <tableParts count="1"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100" t="str">
        <f>"PROYECCIÓN DE GENERACIÓN PLOME "&amp;TEXT(B3,"DD MMM")&amp;" - "&amp;TEXT(B3+9,"DD MMM")</f>
        <v>PROYECCIÓN DE GENERACIÓN PLOME 18 Oct - 27 Oct</v>
      </c>
      <c r="C1" s="98"/>
      <c r="D1" s="98"/>
      <c r="E1" s="99"/>
      <c r="F1" s="101"/>
    </row>
    <row r="2" spans="2:10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</row>
    <row r="3" spans="2:10" x14ac:dyDescent="0.25">
      <c r="B3" s="91">
        <f>Table110[[#This Row],[Fecha]]</f>
        <v>45583.083333333336</v>
      </c>
      <c r="C3" s="52">
        <f>Table110[[#This Row],[Hora]]</f>
        <v>8.3333333333333329E-2</v>
      </c>
      <c r="D3" s="92">
        <f>Table14[[#This Row],[Fecha]]</f>
        <v>45583.083333333336</v>
      </c>
      <c r="E3" s="53" t="e">
        <f>Table110[[#This Row],[Viento m/s]]</f>
        <v>#N/A</v>
      </c>
      <c r="F3" s="94" t="e">
        <f>VLOOKUP(Table14[[#This Row],[FECHA /HORA]],TBL_CalcDarwin[],46,0)</f>
        <v>#N/A</v>
      </c>
      <c r="G3" s="94" t="e">
        <f>VLOOKUP(Table14[[#This Row],[FECHA /HORA]],TBL_CalcDarwin[],47,0)</f>
        <v>#N/A</v>
      </c>
      <c r="H3" s="94" t="e">
        <f>VLOOKUP(Table14[[#This Row],[FECHA /HORA]],TBL_CalcDarwin[],44,0)</f>
        <v>#N/A</v>
      </c>
      <c r="I3" s="94" t="e">
        <f>VLOOKUP(Table14[[#This Row],[FECHA /HORA]],TBL_CalcDarwin[],45,0)</f>
        <v>#N/A</v>
      </c>
      <c r="J3" s="53" t="e">
        <f>Table14[[#This Row],[MW Proyectada (Barra A)]]+Table14[[#This Row],[MW Proyectada (Barra B)]]</f>
        <v>#N/A</v>
      </c>
    </row>
    <row r="4" spans="2:10" x14ac:dyDescent="0.25">
      <c r="B4" s="91">
        <f>Table110[[#This Row],[Fecha]]</f>
        <v>45583.125</v>
      </c>
      <c r="C4" s="52">
        <f>Table110[[#This Row],[Hora]]</f>
        <v>0.125</v>
      </c>
      <c r="D4" s="92">
        <f>Table14[[#This Row],[Fecha]]</f>
        <v>45583.125</v>
      </c>
      <c r="E4" s="53" t="e">
        <f>Table110[[#This Row],[Viento m/s]]</f>
        <v>#N/A</v>
      </c>
      <c r="F4" s="95" t="e">
        <f>VLOOKUP(Table14[[#This Row],[FECHA /HORA]],TBL_CalcDarwin[],46,0)</f>
        <v>#N/A</v>
      </c>
      <c r="G4" s="95" t="e">
        <f>VLOOKUP(Table14[[#This Row],[FECHA /HORA]],TBL_CalcDarwin[],47,0)</f>
        <v>#N/A</v>
      </c>
      <c r="H4" s="95" t="e">
        <f>VLOOKUP(Table14[[#This Row],[FECHA /HORA]],TBL_CalcDarwin[],44,0)</f>
        <v>#N/A</v>
      </c>
      <c r="I4" s="95" t="e">
        <f>VLOOKUP(Table14[[#This Row],[FECHA /HORA]],TBL_CalcDarwin[],45,0)</f>
        <v>#N/A</v>
      </c>
      <c r="J4" s="53" t="e">
        <f>Table14[[#This Row],[MW Proyectada (Barra A)]]+Table14[[#This Row],[MW Proyectada (Barra B)]]</f>
        <v>#N/A</v>
      </c>
    </row>
    <row r="5" spans="2:10" x14ac:dyDescent="0.25">
      <c r="B5" s="91">
        <f>Table110[[#This Row],[Fecha]]</f>
        <v>45583.166666666664</v>
      </c>
      <c r="C5" s="52">
        <f>Table110[[#This Row],[Hora]]</f>
        <v>0.16666666666666666</v>
      </c>
      <c r="D5" s="92">
        <f>Table14[[#This Row],[Fecha]]</f>
        <v>45583.166666666664</v>
      </c>
      <c r="E5" s="53" t="e">
        <f>Table110[[#This Row],[Viento m/s]]</f>
        <v>#N/A</v>
      </c>
      <c r="F5" s="94" t="e">
        <f>VLOOKUP(Table14[[#This Row],[FECHA /HORA]],TBL_CalcDarwin[],46,0)</f>
        <v>#N/A</v>
      </c>
      <c r="G5" s="94" t="e">
        <f>VLOOKUP(Table14[[#This Row],[FECHA /HORA]],TBL_CalcDarwin[],47,0)</f>
        <v>#N/A</v>
      </c>
      <c r="H5" s="94" t="e">
        <f>VLOOKUP(Table14[[#This Row],[FECHA /HORA]],TBL_CalcDarwin[],44,0)</f>
        <v>#N/A</v>
      </c>
      <c r="I5" s="94" t="e">
        <f>VLOOKUP(Table14[[#This Row],[FECHA /HORA]],TBL_CalcDarwin[],45,0)</f>
        <v>#N/A</v>
      </c>
      <c r="J5" s="53" t="e">
        <f>Table14[[#This Row],[MW Proyectada (Barra A)]]+Table14[[#This Row],[MW Proyectada (Barra B)]]</f>
        <v>#N/A</v>
      </c>
    </row>
    <row r="6" spans="2:10" x14ac:dyDescent="0.25">
      <c r="B6" s="91">
        <f>Table110[[#This Row],[Fecha]]</f>
        <v>45583.208333333328</v>
      </c>
      <c r="C6" s="52">
        <f>Table110[[#This Row],[Hora]]</f>
        <v>0.20833333333333331</v>
      </c>
      <c r="D6" s="92">
        <f>Table14[[#This Row],[Fecha]]</f>
        <v>45583.208333333328</v>
      </c>
      <c r="E6" s="53" t="e">
        <f>Table110[[#This Row],[Viento m/s]]</f>
        <v>#N/A</v>
      </c>
      <c r="F6" s="95" t="e">
        <f>VLOOKUP(Table14[[#This Row],[FECHA /HORA]],TBL_CalcDarwin[],46,0)</f>
        <v>#N/A</v>
      </c>
      <c r="G6" s="95" t="e">
        <f>VLOOKUP(Table14[[#This Row],[FECHA /HORA]],TBL_CalcDarwin[],47,0)</f>
        <v>#N/A</v>
      </c>
      <c r="H6" s="95" t="e">
        <f>VLOOKUP(Table14[[#This Row],[FECHA /HORA]],TBL_CalcDarwin[],44,0)</f>
        <v>#N/A</v>
      </c>
      <c r="I6" s="95" t="e">
        <f>VLOOKUP(Table14[[#This Row],[FECHA /HORA]],TBL_CalcDarwin[],45,0)</f>
        <v>#N/A</v>
      </c>
      <c r="J6" s="53" t="e">
        <f>Table14[[#This Row],[MW Proyectada (Barra A)]]+Table14[[#This Row],[MW Proyectada (Barra B)]]</f>
        <v>#N/A</v>
      </c>
    </row>
    <row r="7" spans="2:10" x14ac:dyDescent="0.25">
      <c r="B7" s="91">
        <f>Table110[[#This Row],[Fecha]]</f>
        <v>45583.249999999993</v>
      </c>
      <c r="C7" s="52">
        <f>Table110[[#This Row],[Hora]]</f>
        <v>0.24999999999999997</v>
      </c>
      <c r="D7" s="92">
        <f>Table14[[#This Row],[Fecha]]</f>
        <v>45583.249999999993</v>
      </c>
      <c r="E7" s="53" t="e">
        <f>Table110[[#This Row],[Viento m/s]]</f>
        <v>#N/A</v>
      </c>
      <c r="F7" s="94" t="e">
        <f>VLOOKUP(Table14[[#This Row],[FECHA /HORA]],TBL_CalcDarwin[],46,0)</f>
        <v>#N/A</v>
      </c>
      <c r="G7" s="94" t="e">
        <f>VLOOKUP(Table14[[#This Row],[FECHA /HORA]],TBL_CalcDarwin[],47,0)</f>
        <v>#N/A</v>
      </c>
      <c r="H7" s="94" t="e">
        <f>VLOOKUP(Table14[[#This Row],[FECHA /HORA]],TBL_CalcDarwin[],44,0)</f>
        <v>#N/A</v>
      </c>
      <c r="I7" s="94" t="e">
        <f>VLOOKUP(Table14[[#This Row],[FECHA /HORA]],TBL_CalcDarwin[],45,0)</f>
        <v>#N/A</v>
      </c>
      <c r="J7" s="53" t="e">
        <f>Table14[[#This Row],[MW Proyectada (Barra A)]]+Table14[[#This Row],[MW Proyectada (Barra B)]]</f>
        <v>#N/A</v>
      </c>
    </row>
    <row r="8" spans="2:10" x14ac:dyDescent="0.25">
      <c r="B8" s="91">
        <f>Table110[[#This Row],[Fecha]]</f>
        <v>45583.291666666657</v>
      </c>
      <c r="C8" s="52">
        <f>Table110[[#This Row],[Hora]]</f>
        <v>0.29166666666666663</v>
      </c>
      <c r="D8" s="92">
        <f>Table14[[#This Row],[Fecha]]</f>
        <v>45583.291666666657</v>
      </c>
      <c r="E8" s="53" t="e">
        <f>Table110[[#This Row],[Viento m/s]]</f>
        <v>#N/A</v>
      </c>
      <c r="F8" s="95" t="e">
        <f>VLOOKUP(Table14[[#This Row],[FECHA /HORA]],TBL_CalcDarwin[],46,0)</f>
        <v>#N/A</v>
      </c>
      <c r="G8" s="95" t="e">
        <f>VLOOKUP(Table14[[#This Row],[FECHA /HORA]],TBL_CalcDarwin[],47,0)</f>
        <v>#N/A</v>
      </c>
      <c r="H8" s="95" t="e">
        <f>VLOOKUP(Table14[[#This Row],[FECHA /HORA]],TBL_CalcDarwin[],44,0)</f>
        <v>#N/A</v>
      </c>
      <c r="I8" s="95" t="e">
        <f>VLOOKUP(Table14[[#This Row],[FECHA /HORA]],TBL_CalcDarwin[],45,0)</f>
        <v>#N/A</v>
      </c>
      <c r="J8" s="53" t="e">
        <f>Table14[[#This Row],[MW Proyectada (Barra A)]]+Table14[[#This Row],[MW Proyectada (Barra B)]]</f>
        <v>#N/A</v>
      </c>
    </row>
    <row r="9" spans="2:10" x14ac:dyDescent="0.25">
      <c r="B9" s="91">
        <f>Table110[[#This Row],[Fecha]]</f>
        <v>45583.333333333321</v>
      </c>
      <c r="C9" s="52">
        <f>Table110[[#This Row],[Hora]]</f>
        <v>0.33333333333333331</v>
      </c>
      <c r="D9" s="92">
        <f>Table14[[#This Row],[Fecha]]</f>
        <v>45583.333333333321</v>
      </c>
      <c r="E9" s="53" t="e">
        <f>Table110[[#This Row],[Viento m/s]]</f>
        <v>#N/A</v>
      </c>
      <c r="F9" s="94" t="e">
        <f>VLOOKUP(Table14[[#This Row],[FECHA /HORA]],TBL_CalcDarwin[],46,0)</f>
        <v>#N/A</v>
      </c>
      <c r="G9" s="94" t="e">
        <f>VLOOKUP(Table14[[#This Row],[FECHA /HORA]],TBL_CalcDarwin[],47,0)</f>
        <v>#N/A</v>
      </c>
      <c r="H9" s="94" t="e">
        <f>VLOOKUP(Table14[[#This Row],[FECHA /HORA]],TBL_CalcDarwin[],44,0)</f>
        <v>#N/A</v>
      </c>
      <c r="I9" s="94" t="e">
        <f>VLOOKUP(Table14[[#This Row],[FECHA /HORA]],TBL_CalcDarwin[],45,0)</f>
        <v>#N/A</v>
      </c>
      <c r="J9" s="53" t="e">
        <f>Table14[[#This Row],[MW Proyectada (Barra A)]]+Table14[[#This Row],[MW Proyectada (Barra B)]]</f>
        <v>#N/A</v>
      </c>
    </row>
    <row r="10" spans="2:10" x14ac:dyDescent="0.25">
      <c r="B10" s="91">
        <f>Table110[[#This Row],[Fecha]]</f>
        <v>45583.374999999985</v>
      </c>
      <c r="C10" s="52">
        <f>Table110[[#This Row],[Hora]]</f>
        <v>0.375</v>
      </c>
      <c r="D10" s="92">
        <f>Table14[[#This Row],[Fecha]]</f>
        <v>45583.374999999985</v>
      </c>
      <c r="E10" s="53" t="e">
        <f>Table110[[#This Row],[Viento m/s]]</f>
        <v>#N/A</v>
      </c>
      <c r="F10" s="95" t="e">
        <f>VLOOKUP(Table14[[#This Row],[FECHA /HORA]],TBL_CalcDarwin[],46,0)</f>
        <v>#N/A</v>
      </c>
      <c r="G10" s="95" t="e">
        <f>VLOOKUP(Table14[[#This Row],[FECHA /HORA]],TBL_CalcDarwin[],47,0)</f>
        <v>#N/A</v>
      </c>
      <c r="H10" s="95" t="e">
        <f>VLOOKUP(Table14[[#This Row],[FECHA /HORA]],TBL_CalcDarwin[],44,0)</f>
        <v>#N/A</v>
      </c>
      <c r="I10" s="95" t="e">
        <f>VLOOKUP(Table14[[#This Row],[FECHA /HORA]],TBL_CalcDarwin[],45,0)</f>
        <v>#N/A</v>
      </c>
      <c r="J10" s="53" t="e">
        <f>Table14[[#This Row],[MW Proyectada (Barra A)]]+Table14[[#This Row],[MW Proyectada (Barra B)]]</f>
        <v>#N/A</v>
      </c>
    </row>
    <row r="11" spans="2:10" x14ac:dyDescent="0.25">
      <c r="B11" s="91">
        <f>Table110[[#This Row],[Fecha]]</f>
        <v>45583.41666666665</v>
      </c>
      <c r="C11" s="52">
        <f>Table110[[#This Row],[Hora]]</f>
        <v>0.41666666666666669</v>
      </c>
      <c r="D11" s="92">
        <f>Table14[[#This Row],[Fecha]]</f>
        <v>45583.41666666665</v>
      </c>
      <c r="E11" s="53" t="e">
        <f>Table110[[#This Row],[Viento m/s]]</f>
        <v>#N/A</v>
      </c>
      <c r="F11" s="94" t="e">
        <f>VLOOKUP(Table14[[#This Row],[FECHA /HORA]],TBL_CalcDarwin[],46,0)</f>
        <v>#N/A</v>
      </c>
      <c r="G11" s="94" t="e">
        <f>VLOOKUP(Table14[[#This Row],[FECHA /HORA]],TBL_CalcDarwin[],47,0)</f>
        <v>#N/A</v>
      </c>
      <c r="H11" s="94" t="e">
        <f>VLOOKUP(Table14[[#This Row],[FECHA /HORA]],TBL_CalcDarwin[],44,0)</f>
        <v>#N/A</v>
      </c>
      <c r="I11" s="94" t="e">
        <f>VLOOKUP(Table14[[#This Row],[FECHA /HORA]],TBL_CalcDarwin[],45,0)</f>
        <v>#N/A</v>
      </c>
      <c r="J11" s="53" t="e">
        <f>Table14[[#This Row],[MW Proyectada (Barra A)]]+Table14[[#This Row],[MW Proyectada (Barra B)]]</f>
        <v>#N/A</v>
      </c>
    </row>
    <row r="12" spans="2:10" x14ac:dyDescent="0.25">
      <c r="B12" s="91">
        <f>Table110[[#This Row],[Fecha]]</f>
        <v>45583.458333333314</v>
      </c>
      <c r="C12" s="52">
        <f>Table110[[#This Row],[Hora]]</f>
        <v>0.45833333333333337</v>
      </c>
      <c r="D12" s="92">
        <f>Table14[[#This Row],[Fecha]]</f>
        <v>45583.458333333314</v>
      </c>
      <c r="E12" s="53" t="e">
        <f>Table110[[#This Row],[Viento m/s]]</f>
        <v>#N/A</v>
      </c>
      <c r="F12" s="95" t="e">
        <f>VLOOKUP(Table14[[#This Row],[FECHA /HORA]],TBL_CalcDarwin[],46,0)</f>
        <v>#N/A</v>
      </c>
      <c r="G12" s="95" t="e">
        <f>VLOOKUP(Table14[[#This Row],[FECHA /HORA]],TBL_CalcDarwin[],47,0)</f>
        <v>#N/A</v>
      </c>
      <c r="H12" s="95" t="e">
        <f>VLOOKUP(Table14[[#This Row],[FECHA /HORA]],TBL_CalcDarwin[],44,0)</f>
        <v>#N/A</v>
      </c>
      <c r="I12" s="95" t="e">
        <f>VLOOKUP(Table14[[#This Row],[FECHA /HORA]],TBL_CalcDarwin[],45,0)</f>
        <v>#N/A</v>
      </c>
      <c r="J12" s="53" t="e">
        <f>Table14[[#This Row],[MW Proyectada (Barra A)]]+Table14[[#This Row],[MW Proyectada (Barra B)]]</f>
        <v>#N/A</v>
      </c>
    </row>
    <row r="13" spans="2:10" x14ac:dyDescent="0.25">
      <c r="B13" s="91">
        <f>Table110[[#This Row],[Fecha]]</f>
        <v>45583.499999999978</v>
      </c>
      <c r="C13" s="52">
        <f>Table110[[#This Row],[Hora]]</f>
        <v>0.5</v>
      </c>
      <c r="D13" s="92">
        <f>Table14[[#This Row],[Fecha]]</f>
        <v>45583.499999999978</v>
      </c>
      <c r="E13" s="53" t="e">
        <f>Table110[[#This Row],[Viento m/s]]</f>
        <v>#N/A</v>
      </c>
      <c r="F13" s="94" t="e">
        <f>VLOOKUP(Table14[[#This Row],[FECHA /HORA]],TBL_CalcDarwin[],46,0)</f>
        <v>#N/A</v>
      </c>
      <c r="G13" s="94" t="e">
        <f>VLOOKUP(Table14[[#This Row],[FECHA /HORA]],TBL_CalcDarwin[],47,0)</f>
        <v>#N/A</v>
      </c>
      <c r="H13" s="94" t="e">
        <f>VLOOKUP(Table14[[#This Row],[FECHA /HORA]],TBL_CalcDarwin[],44,0)</f>
        <v>#N/A</v>
      </c>
      <c r="I13" s="94" t="e">
        <f>VLOOKUP(Table14[[#This Row],[FECHA /HORA]],TBL_CalcDarwin[],45,0)</f>
        <v>#N/A</v>
      </c>
      <c r="J13" s="53" t="e">
        <f>Table14[[#This Row],[MW Proyectada (Barra A)]]+Table14[[#This Row],[MW Proyectada (Barra B)]]</f>
        <v>#N/A</v>
      </c>
    </row>
    <row r="14" spans="2:10" x14ac:dyDescent="0.25">
      <c r="B14" s="91">
        <f>Table110[[#This Row],[Fecha]]</f>
        <v>45583.541666666642</v>
      </c>
      <c r="C14" s="52">
        <f>Table110[[#This Row],[Hora]]</f>
        <v>0.54166666666666663</v>
      </c>
      <c r="D14" s="92">
        <f>Table14[[#This Row],[Fecha]]</f>
        <v>45583.541666666642</v>
      </c>
      <c r="E14" s="53" t="e">
        <f>Table110[[#This Row],[Viento m/s]]</f>
        <v>#N/A</v>
      </c>
      <c r="F14" s="95" t="e">
        <f>VLOOKUP(Table14[[#This Row],[FECHA /HORA]],TBL_CalcDarwin[],46,0)</f>
        <v>#N/A</v>
      </c>
      <c r="G14" s="95" t="e">
        <f>VLOOKUP(Table14[[#This Row],[FECHA /HORA]],TBL_CalcDarwin[],47,0)</f>
        <v>#N/A</v>
      </c>
      <c r="H14" s="95" t="e">
        <f>VLOOKUP(Table14[[#This Row],[FECHA /HORA]],TBL_CalcDarwin[],44,0)</f>
        <v>#N/A</v>
      </c>
      <c r="I14" s="95" t="e">
        <f>VLOOKUP(Table14[[#This Row],[FECHA /HORA]],TBL_CalcDarwin[],45,0)</f>
        <v>#N/A</v>
      </c>
      <c r="J14" s="53" t="e">
        <f>Table14[[#This Row],[MW Proyectada (Barra A)]]+Table14[[#This Row],[MW Proyectada (Barra B)]]</f>
        <v>#N/A</v>
      </c>
    </row>
    <row r="15" spans="2:10" x14ac:dyDescent="0.25">
      <c r="B15" s="91">
        <f>Table110[[#This Row],[Fecha]]</f>
        <v>45583.583333333307</v>
      </c>
      <c r="C15" s="52">
        <f>Table110[[#This Row],[Hora]]</f>
        <v>0.58333333333333326</v>
      </c>
      <c r="D15" s="92">
        <f>Table14[[#This Row],[Fecha]]</f>
        <v>45583.583333333307</v>
      </c>
      <c r="E15" s="53" t="e">
        <f>Table110[[#This Row],[Viento m/s]]</f>
        <v>#N/A</v>
      </c>
      <c r="F15" s="94" t="e">
        <f>VLOOKUP(Table14[[#This Row],[FECHA /HORA]],TBL_CalcDarwin[],46,0)</f>
        <v>#N/A</v>
      </c>
      <c r="G15" s="94" t="e">
        <f>VLOOKUP(Table14[[#This Row],[FECHA /HORA]],TBL_CalcDarwin[],47,0)</f>
        <v>#N/A</v>
      </c>
      <c r="H15" s="94" t="e">
        <f>VLOOKUP(Table14[[#This Row],[FECHA /HORA]],TBL_CalcDarwin[],44,0)</f>
        <v>#N/A</v>
      </c>
      <c r="I15" s="94" t="e">
        <f>VLOOKUP(Table14[[#This Row],[FECHA /HORA]],TBL_CalcDarwin[],45,0)</f>
        <v>#N/A</v>
      </c>
      <c r="J15" s="53" t="e">
        <f>Table14[[#This Row],[MW Proyectada (Barra A)]]+Table14[[#This Row],[MW Proyectada (Barra B)]]</f>
        <v>#N/A</v>
      </c>
    </row>
    <row r="16" spans="2:10" x14ac:dyDescent="0.25">
      <c r="B16" s="91">
        <f>Table110[[#This Row],[Fecha]]</f>
        <v>45583.624999999971</v>
      </c>
      <c r="C16" s="52">
        <f>Table110[[#This Row],[Hora]]</f>
        <v>0.62499999999999989</v>
      </c>
      <c r="D16" s="92">
        <f>Table14[[#This Row],[Fecha]]</f>
        <v>45583.624999999971</v>
      </c>
      <c r="E16" s="53" t="e">
        <f>Table110[[#This Row],[Viento m/s]]</f>
        <v>#N/A</v>
      </c>
      <c r="F16" s="95" t="e">
        <f>VLOOKUP(Table14[[#This Row],[FECHA /HORA]],TBL_CalcDarwin[],46,0)</f>
        <v>#N/A</v>
      </c>
      <c r="G16" s="95" t="e">
        <f>VLOOKUP(Table14[[#This Row],[FECHA /HORA]],TBL_CalcDarwin[],47,0)</f>
        <v>#N/A</v>
      </c>
      <c r="H16" s="95" t="e">
        <f>VLOOKUP(Table14[[#This Row],[FECHA /HORA]],TBL_CalcDarwin[],44,0)</f>
        <v>#N/A</v>
      </c>
      <c r="I16" s="95" t="e">
        <f>VLOOKUP(Table14[[#This Row],[FECHA /HORA]],TBL_CalcDarwin[],45,0)</f>
        <v>#N/A</v>
      </c>
      <c r="J16" s="53" t="e">
        <f>Table14[[#This Row],[MW Proyectada (Barra A)]]+Table14[[#This Row],[MW Proyectada (Barra B)]]</f>
        <v>#N/A</v>
      </c>
    </row>
    <row r="17" spans="2:10" x14ac:dyDescent="0.25">
      <c r="B17" s="91">
        <f>Table110[[#This Row],[Fecha]]</f>
        <v>45583.666666666635</v>
      </c>
      <c r="C17" s="52">
        <f>Table110[[#This Row],[Hora]]</f>
        <v>0.66666666666666652</v>
      </c>
      <c r="D17" s="92">
        <f>Table14[[#This Row],[Fecha]]</f>
        <v>45583.666666666635</v>
      </c>
      <c r="E17" s="53" t="e">
        <f>Table110[[#This Row],[Viento m/s]]</f>
        <v>#N/A</v>
      </c>
      <c r="F17" s="94" t="e">
        <f>VLOOKUP(Table14[[#This Row],[FECHA /HORA]],TBL_CalcDarwin[],46,0)</f>
        <v>#N/A</v>
      </c>
      <c r="G17" s="94" t="e">
        <f>VLOOKUP(Table14[[#This Row],[FECHA /HORA]],TBL_CalcDarwin[],47,0)</f>
        <v>#N/A</v>
      </c>
      <c r="H17" s="94" t="e">
        <f>VLOOKUP(Table14[[#This Row],[FECHA /HORA]],TBL_CalcDarwin[],44,0)</f>
        <v>#N/A</v>
      </c>
      <c r="I17" s="94" t="e">
        <f>VLOOKUP(Table14[[#This Row],[FECHA /HORA]],TBL_CalcDarwin[],45,0)</f>
        <v>#N/A</v>
      </c>
      <c r="J17" s="53" t="e">
        <f>Table14[[#This Row],[MW Proyectada (Barra A)]]+Table14[[#This Row],[MW Proyectada (Barra B)]]</f>
        <v>#N/A</v>
      </c>
    </row>
    <row r="18" spans="2:10" x14ac:dyDescent="0.25">
      <c r="B18" s="91">
        <f>Table110[[#This Row],[Fecha]]</f>
        <v>45583.708333333299</v>
      </c>
      <c r="C18" s="52">
        <f>Table110[[#This Row],[Hora]]</f>
        <v>0.70833333333333315</v>
      </c>
      <c r="D18" s="92">
        <f>Table14[[#This Row],[Fecha]]</f>
        <v>45583.708333333299</v>
      </c>
      <c r="E18" s="53" t="e">
        <f>Table110[[#This Row],[Viento m/s]]</f>
        <v>#N/A</v>
      </c>
      <c r="F18" s="95" t="e">
        <f>VLOOKUP(Table14[[#This Row],[FECHA /HORA]],TBL_CalcDarwin[],46,0)</f>
        <v>#N/A</v>
      </c>
      <c r="G18" s="95" t="e">
        <f>VLOOKUP(Table14[[#This Row],[FECHA /HORA]],TBL_CalcDarwin[],47,0)</f>
        <v>#N/A</v>
      </c>
      <c r="H18" s="95" t="e">
        <f>VLOOKUP(Table14[[#This Row],[FECHA /HORA]],TBL_CalcDarwin[],44,0)</f>
        <v>#N/A</v>
      </c>
      <c r="I18" s="95" t="e">
        <f>VLOOKUP(Table14[[#This Row],[FECHA /HORA]],TBL_CalcDarwin[],45,0)</f>
        <v>#N/A</v>
      </c>
      <c r="J18" s="53" t="e">
        <f>Table14[[#This Row],[MW Proyectada (Barra A)]]+Table14[[#This Row],[MW Proyectada (Barra B)]]</f>
        <v>#N/A</v>
      </c>
    </row>
    <row r="19" spans="2:10" x14ac:dyDescent="0.25">
      <c r="B19" s="91">
        <f>Table110[[#This Row],[Fecha]]</f>
        <v>45583.749999999964</v>
      </c>
      <c r="C19" s="52">
        <f>Table110[[#This Row],[Hora]]</f>
        <v>0.74999999999999978</v>
      </c>
      <c r="D19" s="92">
        <f>Table14[[#This Row],[Fecha]]</f>
        <v>45583.749999999964</v>
      </c>
      <c r="E19" s="53" t="e">
        <f>Table110[[#This Row],[Viento m/s]]</f>
        <v>#N/A</v>
      </c>
      <c r="F19" s="94" t="e">
        <f>VLOOKUP(Table14[[#This Row],[FECHA /HORA]],TBL_CalcDarwin[],46,0)</f>
        <v>#N/A</v>
      </c>
      <c r="G19" s="94" t="e">
        <f>VLOOKUP(Table14[[#This Row],[FECHA /HORA]],TBL_CalcDarwin[],47,0)</f>
        <v>#N/A</v>
      </c>
      <c r="H19" s="94" t="e">
        <f>VLOOKUP(Table14[[#This Row],[FECHA /HORA]],TBL_CalcDarwin[],44,0)</f>
        <v>#N/A</v>
      </c>
      <c r="I19" s="94" t="e">
        <f>VLOOKUP(Table14[[#This Row],[FECHA /HORA]],TBL_CalcDarwin[],45,0)</f>
        <v>#N/A</v>
      </c>
      <c r="J19" s="53" t="e">
        <f>Table14[[#This Row],[MW Proyectada (Barra A)]]+Table14[[#This Row],[MW Proyectada (Barra B)]]</f>
        <v>#N/A</v>
      </c>
    </row>
    <row r="20" spans="2:10" x14ac:dyDescent="0.25">
      <c r="B20" s="91">
        <f>Table110[[#This Row],[Fecha]]</f>
        <v>45583.791666666628</v>
      </c>
      <c r="C20" s="52">
        <f>Table110[[#This Row],[Hora]]</f>
        <v>0.79166666666666641</v>
      </c>
      <c r="D20" s="92">
        <f>Table14[[#This Row],[Fecha]]</f>
        <v>45583.791666666628</v>
      </c>
      <c r="E20" s="53" t="e">
        <f>Table110[[#This Row],[Viento m/s]]</f>
        <v>#N/A</v>
      </c>
      <c r="F20" s="95" t="e">
        <f>VLOOKUP(Table14[[#This Row],[FECHA /HORA]],TBL_CalcDarwin[],46,0)</f>
        <v>#N/A</v>
      </c>
      <c r="G20" s="95" t="e">
        <f>VLOOKUP(Table14[[#This Row],[FECHA /HORA]],TBL_CalcDarwin[],47,0)</f>
        <v>#N/A</v>
      </c>
      <c r="H20" s="95" t="e">
        <f>VLOOKUP(Table14[[#This Row],[FECHA /HORA]],TBL_CalcDarwin[],44,0)</f>
        <v>#N/A</v>
      </c>
      <c r="I20" s="95" t="e">
        <f>VLOOKUP(Table14[[#This Row],[FECHA /HORA]],TBL_CalcDarwin[],45,0)</f>
        <v>#N/A</v>
      </c>
      <c r="J20" s="53" t="e">
        <f>Table14[[#This Row],[MW Proyectada (Barra A)]]+Table14[[#This Row],[MW Proyectada (Barra B)]]</f>
        <v>#N/A</v>
      </c>
    </row>
    <row r="21" spans="2:10" x14ac:dyDescent="0.25">
      <c r="B21" s="91">
        <f>Table110[[#This Row],[Fecha]]</f>
        <v>45583.833333333292</v>
      </c>
      <c r="C21" s="52">
        <f>Table110[[#This Row],[Hora]]</f>
        <v>0.83333333333333304</v>
      </c>
      <c r="D21" s="92">
        <f>Table14[[#This Row],[Fecha]]</f>
        <v>45583.833333333292</v>
      </c>
      <c r="E21" s="53" t="e">
        <f>Table110[[#This Row],[Viento m/s]]</f>
        <v>#N/A</v>
      </c>
      <c r="F21" s="94" t="e">
        <f>VLOOKUP(Table14[[#This Row],[FECHA /HORA]],TBL_CalcDarwin[],46,0)</f>
        <v>#N/A</v>
      </c>
      <c r="G21" s="94" t="e">
        <f>VLOOKUP(Table14[[#This Row],[FECHA /HORA]],TBL_CalcDarwin[],47,0)</f>
        <v>#N/A</v>
      </c>
      <c r="H21" s="94" t="e">
        <f>VLOOKUP(Table14[[#This Row],[FECHA /HORA]],TBL_CalcDarwin[],44,0)</f>
        <v>#N/A</v>
      </c>
      <c r="I21" s="94" t="e">
        <f>VLOOKUP(Table14[[#This Row],[FECHA /HORA]],TBL_CalcDarwin[],45,0)</f>
        <v>#N/A</v>
      </c>
      <c r="J21" s="53" t="e">
        <f>Table14[[#This Row],[MW Proyectada (Barra A)]]+Table14[[#This Row],[MW Proyectada (Barra B)]]</f>
        <v>#N/A</v>
      </c>
    </row>
    <row r="22" spans="2:10" x14ac:dyDescent="0.25">
      <c r="B22" s="91">
        <f>Table110[[#This Row],[Fecha]]</f>
        <v>45583.874999999956</v>
      </c>
      <c r="C22" s="52">
        <f>Table110[[#This Row],[Hora]]</f>
        <v>0.87499999999999967</v>
      </c>
      <c r="D22" s="92">
        <f>Table14[[#This Row],[Fecha]]</f>
        <v>45583.874999999956</v>
      </c>
      <c r="E22" s="53" t="e">
        <f>Table110[[#This Row],[Viento m/s]]</f>
        <v>#N/A</v>
      </c>
      <c r="F22" s="95" t="e">
        <f>VLOOKUP(Table14[[#This Row],[FECHA /HORA]],TBL_CalcDarwin[],46,0)</f>
        <v>#N/A</v>
      </c>
      <c r="G22" s="95" t="e">
        <f>VLOOKUP(Table14[[#This Row],[FECHA /HORA]],TBL_CalcDarwin[],47,0)</f>
        <v>#N/A</v>
      </c>
      <c r="H22" s="95" t="e">
        <f>VLOOKUP(Table14[[#This Row],[FECHA /HORA]],TBL_CalcDarwin[],44,0)</f>
        <v>#N/A</v>
      </c>
      <c r="I22" s="95" t="e">
        <f>VLOOKUP(Table14[[#This Row],[FECHA /HORA]],TBL_CalcDarwin[],45,0)</f>
        <v>#N/A</v>
      </c>
      <c r="J22" s="53" t="e">
        <f>Table14[[#This Row],[MW Proyectada (Barra A)]]+Table14[[#This Row],[MW Proyectada (Barra B)]]</f>
        <v>#N/A</v>
      </c>
    </row>
    <row r="23" spans="2:10" x14ac:dyDescent="0.25">
      <c r="B23" s="91">
        <f>Table110[[#This Row],[Fecha]]</f>
        <v>45583.916666666621</v>
      </c>
      <c r="C23" s="52">
        <f>Table110[[#This Row],[Hora]]</f>
        <v>0.9166666666666663</v>
      </c>
      <c r="D23" s="92">
        <f>Table14[[#This Row],[Fecha]]</f>
        <v>45583.916666666621</v>
      </c>
      <c r="E23" s="53" t="e">
        <f>Table110[[#This Row],[Viento m/s]]</f>
        <v>#N/A</v>
      </c>
      <c r="F23" s="94" t="e">
        <f>VLOOKUP(Table14[[#This Row],[FECHA /HORA]],TBL_CalcDarwin[],46,0)</f>
        <v>#N/A</v>
      </c>
      <c r="G23" s="94" t="e">
        <f>VLOOKUP(Table14[[#This Row],[FECHA /HORA]],TBL_CalcDarwin[],47,0)</f>
        <v>#N/A</v>
      </c>
      <c r="H23" s="94" t="e">
        <f>VLOOKUP(Table14[[#This Row],[FECHA /HORA]],TBL_CalcDarwin[],44,0)</f>
        <v>#N/A</v>
      </c>
      <c r="I23" s="94" t="e">
        <f>VLOOKUP(Table14[[#This Row],[FECHA /HORA]],TBL_CalcDarwin[],45,0)</f>
        <v>#N/A</v>
      </c>
      <c r="J23" s="53" t="e">
        <f>Table14[[#This Row],[MW Proyectada (Barra A)]]+Table14[[#This Row],[MW Proyectada (Barra B)]]</f>
        <v>#N/A</v>
      </c>
    </row>
    <row r="24" spans="2:10" x14ac:dyDescent="0.25">
      <c r="B24" s="91">
        <f>Table110[[#This Row],[Fecha]]</f>
        <v>45583.958333333285</v>
      </c>
      <c r="C24" s="52">
        <f>Table110[[#This Row],[Hora]]</f>
        <v>0.95833333333333293</v>
      </c>
      <c r="D24" s="92">
        <f>Table14[[#This Row],[Fecha]]</f>
        <v>45583.958333333285</v>
      </c>
      <c r="E24" s="53" t="e">
        <f>Table110[[#This Row],[Viento m/s]]</f>
        <v>#N/A</v>
      </c>
      <c r="F24" s="95" t="e">
        <f>VLOOKUP(Table14[[#This Row],[FECHA /HORA]],TBL_CalcDarwin[],46,0)</f>
        <v>#N/A</v>
      </c>
      <c r="G24" s="95" t="e">
        <f>VLOOKUP(Table14[[#This Row],[FECHA /HORA]],TBL_CalcDarwin[],47,0)</f>
        <v>#N/A</v>
      </c>
      <c r="H24" s="95" t="e">
        <f>VLOOKUP(Table14[[#This Row],[FECHA /HORA]],TBL_CalcDarwin[],44,0)</f>
        <v>#N/A</v>
      </c>
      <c r="I24" s="95" t="e">
        <f>VLOOKUP(Table14[[#This Row],[FECHA /HORA]],TBL_CalcDarwin[],45,0)</f>
        <v>#N/A</v>
      </c>
      <c r="J24" s="53" t="e">
        <f>Table14[[#This Row],[MW Proyectada (Barra A)]]+Table14[[#This Row],[MW Proyectada (Barra B)]]</f>
        <v>#N/A</v>
      </c>
    </row>
    <row r="25" spans="2:10" x14ac:dyDescent="0.25">
      <c r="B25" s="91">
        <f>Table110[[#This Row],[Fecha]]</f>
        <v>45583.999999999949</v>
      </c>
      <c r="C25" s="52">
        <f>Table110[[#This Row],[Hora]]</f>
        <v>0.99999999999999956</v>
      </c>
      <c r="D25" s="92">
        <f>Table14[[#This Row],[Fecha]]</f>
        <v>45583.999999999949</v>
      </c>
      <c r="E25" s="53" t="e">
        <f>Table110[[#This Row],[Viento m/s]]</f>
        <v>#N/A</v>
      </c>
      <c r="F25" s="94" t="e">
        <f>VLOOKUP(Table14[[#This Row],[FECHA /HORA]],TBL_CalcDarwin[],46,0)</f>
        <v>#N/A</v>
      </c>
      <c r="G25" s="94" t="e">
        <f>VLOOKUP(Table14[[#This Row],[FECHA /HORA]],TBL_CalcDarwin[],47,0)</f>
        <v>#N/A</v>
      </c>
      <c r="H25" s="94" t="e">
        <f>VLOOKUP(Table14[[#This Row],[FECHA /HORA]],TBL_CalcDarwin[],44,0)</f>
        <v>#N/A</v>
      </c>
      <c r="I25" s="94" t="e">
        <f>VLOOKUP(Table14[[#This Row],[FECHA /HORA]],TBL_CalcDarwin[],45,0)</f>
        <v>#N/A</v>
      </c>
      <c r="J25" s="53" t="e">
        <f>Table14[[#This Row],[MW Proyectada (Barra A)]]+Table14[[#This Row],[MW Proyectada (Barra B)]]</f>
        <v>#N/A</v>
      </c>
    </row>
    <row r="26" spans="2:10" x14ac:dyDescent="0.25">
      <c r="B26" s="91">
        <f>Table110[[#This Row],[Fecha]]</f>
        <v>45584.041666666613</v>
      </c>
      <c r="C26" s="52">
        <f>Table110[[#This Row],[Hora]]</f>
        <v>1.0416666666666663</v>
      </c>
      <c r="D26" s="92">
        <f>Table14[[#This Row],[Fecha]]</f>
        <v>45584.041666666613</v>
      </c>
      <c r="E26" s="53" t="e">
        <f>Table110[[#This Row],[Viento m/s]]</f>
        <v>#N/A</v>
      </c>
      <c r="F26" s="95" t="e">
        <f>VLOOKUP(Table14[[#This Row],[FECHA /HORA]],TBL_CalcDarwin[],46,0)</f>
        <v>#N/A</v>
      </c>
      <c r="G26" s="95" t="e">
        <f>VLOOKUP(Table14[[#This Row],[FECHA /HORA]],TBL_CalcDarwin[],47,0)</f>
        <v>#N/A</v>
      </c>
      <c r="H26" s="95" t="e">
        <f>VLOOKUP(Table14[[#This Row],[FECHA /HORA]],TBL_CalcDarwin[],44,0)</f>
        <v>#N/A</v>
      </c>
      <c r="I26" s="95" t="e">
        <f>VLOOKUP(Table14[[#This Row],[FECHA /HORA]],TBL_CalcDarwin[],45,0)</f>
        <v>#N/A</v>
      </c>
      <c r="J26" s="53" t="e">
        <f>Table14[[#This Row],[MW Proyectada (Barra A)]]+Table14[[#This Row],[MW Proyectada (Barra B)]]</f>
        <v>#N/A</v>
      </c>
    </row>
    <row r="27" spans="2:10" x14ac:dyDescent="0.25">
      <c r="B27" s="91">
        <f>Table110[[#This Row],[Fecha]]</f>
        <v>45584.083333333278</v>
      </c>
      <c r="C27" s="52">
        <f>Table110[[#This Row],[Hora]]</f>
        <v>1.083333333333333</v>
      </c>
      <c r="D27" s="92">
        <f>Table14[[#This Row],[Fecha]]</f>
        <v>45584.083333333278</v>
      </c>
      <c r="E27" s="53" t="e">
        <f>Table110[[#This Row],[Viento m/s]]</f>
        <v>#N/A</v>
      </c>
      <c r="F27" s="94" t="e">
        <f>VLOOKUP(Table14[[#This Row],[FECHA /HORA]],TBL_CalcDarwin[],46,0)</f>
        <v>#N/A</v>
      </c>
      <c r="G27" s="94" t="e">
        <f>VLOOKUP(Table14[[#This Row],[FECHA /HORA]],TBL_CalcDarwin[],47,0)</f>
        <v>#N/A</v>
      </c>
      <c r="H27" s="94" t="e">
        <f>VLOOKUP(Table14[[#This Row],[FECHA /HORA]],TBL_CalcDarwin[],44,0)</f>
        <v>#N/A</v>
      </c>
      <c r="I27" s="94" t="e">
        <f>VLOOKUP(Table14[[#This Row],[FECHA /HORA]],TBL_CalcDarwin[],45,0)</f>
        <v>#N/A</v>
      </c>
      <c r="J27" s="53" t="e">
        <f>Table14[[#This Row],[MW Proyectada (Barra A)]]+Table14[[#This Row],[MW Proyectada (Barra B)]]</f>
        <v>#N/A</v>
      </c>
    </row>
    <row r="28" spans="2:10" x14ac:dyDescent="0.25">
      <c r="B28" s="91">
        <f>Table110[[#This Row],[Fecha]]</f>
        <v>45584.124999999942</v>
      </c>
      <c r="C28" s="52">
        <f>Table110[[#This Row],[Hora]]</f>
        <v>1.1249999999999998</v>
      </c>
      <c r="D28" s="92">
        <f>Table14[[#This Row],[Fecha]]</f>
        <v>45584.124999999942</v>
      </c>
      <c r="E28" s="53" t="e">
        <f>Table110[[#This Row],[Viento m/s]]</f>
        <v>#N/A</v>
      </c>
      <c r="F28" s="95" t="e">
        <f>VLOOKUP(Table14[[#This Row],[FECHA /HORA]],TBL_CalcDarwin[],46,0)</f>
        <v>#N/A</v>
      </c>
      <c r="G28" s="95" t="e">
        <f>VLOOKUP(Table14[[#This Row],[FECHA /HORA]],TBL_CalcDarwin[],47,0)</f>
        <v>#N/A</v>
      </c>
      <c r="H28" s="95" t="e">
        <f>VLOOKUP(Table14[[#This Row],[FECHA /HORA]],TBL_CalcDarwin[],44,0)</f>
        <v>#N/A</v>
      </c>
      <c r="I28" s="95" t="e">
        <f>VLOOKUP(Table14[[#This Row],[FECHA /HORA]],TBL_CalcDarwin[],45,0)</f>
        <v>#N/A</v>
      </c>
      <c r="J28" s="53" t="e">
        <f>Table14[[#This Row],[MW Proyectada (Barra A)]]+Table14[[#This Row],[MW Proyectada (Barra B)]]</f>
        <v>#N/A</v>
      </c>
    </row>
    <row r="29" spans="2:10" x14ac:dyDescent="0.25">
      <c r="B29" s="91">
        <f>Table110[[#This Row],[Fecha]]</f>
        <v>45584.166666666606</v>
      </c>
      <c r="C29" s="52">
        <f>Table110[[#This Row],[Hora]]</f>
        <v>1.1666666666666665</v>
      </c>
      <c r="D29" s="92">
        <f>Table14[[#This Row],[Fecha]]</f>
        <v>45584.166666666606</v>
      </c>
      <c r="E29" s="53" t="e">
        <f>Table110[[#This Row],[Viento m/s]]</f>
        <v>#N/A</v>
      </c>
      <c r="F29" s="94" t="e">
        <f>VLOOKUP(Table14[[#This Row],[FECHA /HORA]],TBL_CalcDarwin[],46,0)</f>
        <v>#N/A</v>
      </c>
      <c r="G29" s="94" t="e">
        <f>VLOOKUP(Table14[[#This Row],[FECHA /HORA]],TBL_CalcDarwin[],47,0)</f>
        <v>#N/A</v>
      </c>
      <c r="H29" s="94" t="e">
        <f>VLOOKUP(Table14[[#This Row],[FECHA /HORA]],TBL_CalcDarwin[],44,0)</f>
        <v>#N/A</v>
      </c>
      <c r="I29" s="94" t="e">
        <f>VLOOKUP(Table14[[#This Row],[FECHA /HORA]],TBL_CalcDarwin[],45,0)</f>
        <v>#N/A</v>
      </c>
      <c r="J29" s="53" t="e">
        <f>Table14[[#This Row],[MW Proyectada (Barra A)]]+Table14[[#This Row],[MW Proyectada (Barra B)]]</f>
        <v>#N/A</v>
      </c>
    </row>
    <row r="30" spans="2:10" x14ac:dyDescent="0.25">
      <c r="B30" s="91">
        <f>Table110[[#This Row],[Fecha]]</f>
        <v>45584.20833333327</v>
      </c>
      <c r="C30" s="52">
        <f>Table110[[#This Row],[Hora]]</f>
        <v>1.2083333333333333</v>
      </c>
      <c r="D30" s="92">
        <f>Table14[[#This Row],[Fecha]]</f>
        <v>45584.20833333327</v>
      </c>
      <c r="E30" s="53" t="e">
        <f>Table110[[#This Row],[Viento m/s]]</f>
        <v>#N/A</v>
      </c>
      <c r="F30" s="95" t="e">
        <f>VLOOKUP(Table14[[#This Row],[FECHA /HORA]],TBL_CalcDarwin[],46,0)</f>
        <v>#N/A</v>
      </c>
      <c r="G30" s="95" t="e">
        <f>VLOOKUP(Table14[[#This Row],[FECHA /HORA]],TBL_CalcDarwin[],47,0)</f>
        <v>#N/A</v>
      </c>
      <c r="H30" s="95" t="e">
        <f>VLOOKUP(Table14[[#This Row],[FECHA /HORA]],TBL_CalcDarwin[],44,0)</f>
        <v>#N/A</v>
      </c>
      <c r="I30" s="95" t="e">
        <f>VLOOKUP(Table14[[#This Row],[FECHA /HORA]],TBL_CalcDarwin[],45,0)</f>
        <v>#N/A</v>
      </c>
      <c r="J30" s="53" t="e">
        <f>Table14[[#This Row],[MW Proyectada (Barra A)]]+Table14[[#This Row],[MW Proyectada (Barra B)]]</f>
        <v>#N/A</v>
      </c>
    </row>
    <row r="31" spans="2:10" x14ac:dyDescent="0.25">
      <c r="B31" s="91">
        <f>Table110[[#This Row],[Fecha]]</f>
        <v>45584.249999999935</v>
      </c>
      <c r="C31" s="52">
        <f>Table110[[#This Row],[Hora]]</f>
        <v>1.25</v>
      </c>
      <c r="D31" s="92">
        <f>Table14[[#This Row],[Fecha]]</f>
        <v>45584.249999999935</v>
      </c>
      <c r="E31" s="53" t="e">
        <f>Table110[[#This Row],[Viento m/s]]</f>
        <v>#N/A</v>
      </c>
      <c r="F31" s="94" t="e">
        <f>VLOOKUP(Table14[[#This Row],[FECHA /HORA]],TBL_CalcDarwin[],46,0)</f>
        <v>#N/A</v>
      </c>
      <c r="G31" s="94" t="e">
        <f>VLOOKUP(Table14[[#This Row],[FECHA /HORA]],TBL_CalcDarwin[],47,0)</f>
        <v>#N/A</v>
      </c>
      <c r="H31" s="94" t="e">
        <f>VLOOKUP(Table14[[#This Row],[FECHA /HORA]],TBL_CalcDarwin[],44,0)</f>
        <v>#N/A</v>
      </c>
      <c r="I31" s="94" t="e">
        <f>VLOOKUP(Table14[[#This Row],[FECHA /HORA]],TBL_CalcDarwin[],45,0)</f>
        <v>#N/A</v>
      </c>
      <c r="J31" s="53" t="e">
        <f>Table14[[#This Row],[MW Proyectada (Barra A)]]+Table14[[#This Row],[MW Proyectada (Barra B)]]</f>
        <v>#N/A</v>
      </c>
    </row>
    <row r="32" spans="2:10" x14ac:dyDescent="0.25">
      <c r="B32" s="91">
        <f>Table110[[#This Row],[Fecha]]</f>
        <v>45584.291666666599</v>
      </c>
      <c r="C32" s="52">
        <f>Table110[[#This Row],[Hora]]</f>
        <v>1.2916666666666667</v>
      </c>
      <c r="D32" s="92">
        <f>Table14[[#This Row],[Fecha]]</f>
        <v>45584.291666666599</v>
      </c>
      <c r="E32" s="53" t="e">
        <f>Table110[[#This Row],[Viento m/s]]</f>
        <v>#N/A</v>
      </c>
      <c r="F32" s="95" t="e">
        <f>VLOOKUP(Table14[[#This Row],[FECHA /HORA]],TBL_CalcDarwin[],46,0)</f>
        <v>#N/A</v>
      </c>
      <c r="G32" s="95" t="e">
        <f>VLOOKUP(Table14[[#This Row],[FECHA /HORA]],TBL_CalcDarwin[],47,0)</f>
        <v>#N/A</v>
      </c>
      <c r="H32" s="95" t="e">
        <f>VLOOKUP(Table14[[#This Row],[FECHA /HORA]],TBL_CalcDarwin[],44,0)</f>
        <v>#N/A</v>
      </c>
      <c r="I32" s="95" t="e">
        <f>VLOOKUP(Table14[[#This Row],[FECHA /HORA]],TBL_CalcDarwin[],45,0)</f>
        <v>#N/A</v>
      </c>
      <c r="J32" s="53" t="e">
        <f>Table14[[#This Row],[MW Proyectada (Barra A)]]+Table14[[#This Row],[MW Proyectada (Barra B)]]</f>
        <v>#N/A</v>
      </c>
    </row>
    <row r="33" spans="2:10" x14ac:dyDescent="0.25">
      <c r="B33" s="91">
        <f>Table110[[#This Row],[Fecha]]</f>
        <v>45584.333333333263</v>
      </c>
      <c r="C33" s="52">
        <f>Table110[[#This Row],[Hora]]</f>
        <v>1.3333333333333335</v>
      </c>
      <c r="D33" s="92">
        <f>Table14[[#This Row],[Fecha]]</f>
        <v>45584.333333333263</v>
      </c>
      <c r="E33" s="53" t="e">
        <f>Table110[[#This Row],[Viento m/s]]</f>
        <v>#N/A</v>
      </c>
      <c r="F33" s="94" t="e">
        <f>VLOOKUP(Table14[[#This Row],[FECHA /HORA]],TBL_CalcDarwin[],46,0)</f>
        <v>#N/A</v>
      </c>
      <c r="G33" s="94" t="e">
        <f>VLOOKUP(Table14[[#This Row],[FECHA /HORA]],TBL_CalcDarwin[],47,0)</f>
        <v>#N/A</v>
      </c>
      <c r="H33" s="94" t="e">
        <f>VLOOKUP(Table14[[#This Row],[FECHA /HORA]],TBL_CalcDarwin[],44,0)</f>
        <v>#N/A</v>
      </c>
      <c r="I33" s="94" t="e">
        <f>VLOOKUP(Table14[[#This Row],[FECHA /HORA]],TBL_CalcDarwin[],45,0)</f>
        <v>#N/A</v>
      </c>
      <c r="J33" s="53" t="e">
        <f>Table14[[#This Row],[MW Proyectada (Barra A)]]+Table14[[#This Row],[MW Proyectada (Barra B)]]</f>
        <v>#N/A</v>
      </c>
    </row>
    <row r="34" spans="2:10" x14ac:dyDescent="0.25">
      <c r="B34" s="91">
        <f>Table110[[#This Row],[Fecha]]</f>
        <v>45584.374999999927</v>
      </c>
      <c r="C34" s="52">
        <f>Table110[[#This Row],[Hora]]</f>
        <v>1.3750000000000002</v>
      </c>
      <c r="D34" s="92">
        <f>Table14[[#This Row],[Fecha]]</f>
        <v>45584.374999999927</v>
      </c>
      <c r="E34" s="53" t="e">
        <f>Table110[[#This Row],[Viento m/s]]</f>
        <v>#N/A</v>
      </c>
      <c r="F34" s="95" t="e">
        <f>VLOOKUP(Table14[[#This Row],[FECHA /HORA]],TBL_CalcDarwin[],46,0)</f>
        <v>#N/A</v>
      </c>
      <c r="G34" s="95" t="e">
        <f>VLOOKUP(Table14[[#This Row],[FECHA /HORA]],TBL_CalcDarwin[],47,0)</f>
        <v>#N/A</v>
      </c>
      <c r="H34" s="95" t="e">
        <f>VLOOKUP(Table14[[#This Row],[FECHA /HORA]],TBL_CalcDarwin[],44,0)</f>
        <v>#N/A</v>
      </c>
      <c r="I34" s="95" t="e">
        <f>VLOOKUP(Table14[[#This Row],[FECHA /HORA]],TBL_CalcDarwin[],45,0)</f>
        <v>#N/A</v>
      </c>
      <c r="J34" s="53" t="e">
        <f>Table14[[#This Row],[MW Proyectada (Barra A)]]+Table14[[#This Row],[MW Proyectada (Barra B)]]</f>
        <v>#N/A</v>
      </c>
    </row>
    <row r="35" spans="2:10" x14ac:dyDescent="0.25">
      <c r="B35" s="91">
        <f>Table110[[#This Row],[Fecha]]</f>
        <v>45584.416666666591</v>
      </c>
      <c r="C35" s="52">
        <f>Table110[[#This Row],[Hora]]</f>
        <v>1.416666666666667</v>
      </c>
      <c r="D35" s="92">
        <f>Table14[[#This Row],[Fecha]]</f>
        <v>45584.416666666591</v>
      </c>
      <c r="E35" s="53" t="e">
        <f>Table110[[#This Row],[Viento m/s]]</f>
        <v>#N/A</v>
      </c>
      <c r="F35" s="94" t="e">
        <f>VLOOKUP(Table14[[#This Row],[FECHA /HORA]],TBL_CalcDarwin[],46,0)</f>
        <v>#N/A</v>
      </c>
      <c r="G35" s="94" t="e">
        <f>VLOOKUP(Table14[[#This Row],[FECHA /HORA]],TBL_CalcDarwin[],47,0)</f>
        <v>#N/A</v>
      </c>
      <c r="H35" s="94" t="e">
        <f>VLOOKUP(Table14[[#This Row],[FECHA /HORA]],TBL_CalcDarwin[],44,0)</f>
        <v>#N/A</v>
      </c>
      <c r="I35" s="94" t="e">
        <f>VLOOKUP(Table14[[#This Row],[FECHA /HORA]],TBL_CalcDarwin[],45,0)</f>
        <v>#N/A</v>
      </c>
      <c r="J35" s="53" t="e">
        <f>Table14[[#This Row],[MW Proyectada (Barra A)]]+Table14[[#This Row],[MW Proyectada (Barra B)]]</f>
        <v>#N/A</v>
      </c>
    </row>
    <row r="36" spans="2:10" x14ac:dyDescent="0.25">
      <c r="B36" s="91">
        <f>Table110[[#This Row],[Fecha]]</f>
        <v>45584.458333333256</v>
      </c>
      <c r="C36" s="52">
        <f>Table110[[#This Row],[Hora]]</f>
        <v>1.4583333333333337</v>
      </c>
      <c r="D36" s="92">
        <f>Table14[[#This Row],[Fecha]]</f>
        <v>45584.458333333256</v>
      </c>
      <c r="E36" s="53" t="e">
        <f>Table110[[#This Row],[Viento m/s]]</f>
        <v>#N/A</v>
      </c>
      <c r="F36" s="95" t="e">
        <f>VLOOKUP(Table14[[#This Row],[FECHA /HORA]],TBL_CalcDarwin[],46,0)</f>
        <v>#N/A</v>
      </c>
      <c r="G36" s="95" t="e">
        <f>VLOOKUP(Table14[[#This Row],[FECHA /HORA]],TBL_CalcDarwin[],47,0)</f>
        <v>#N/A</v>
      </c>
      <c r="H36" s="95" t="e">
        <f>VLOOKUP(Table14[[#This Row],[FECHA /HORA]],TBL_CalcDarwin[],44,0)</f>
        <v>#N/A</v>
      </c>
      <c r="I36" s="95" t="e">
        <f>VLOOKUP(Table14[[#This Row],[FECHA /HORA]],TBL_CalcDarwin[],45,0)</f>
        <v>#N/A</v>
      </c>
      <c r="J36" s="53" t="e">
        <f>Table14[[#This Row],[MW Proyectada (Barra A)]]+Table14[[#This Row],[MW Proyectada (Barra B)]]</f>
        <v>#N/A</v>
      </c>
    </row>
    <row r="37" spans="2:10" x14ac:dyDescent="0.25">
      <c r="B37" s="91">
        <f>Table110[[#This Row],[Fecha]]</f>
        <v>45584.49999999992</v>
      </c>
      <c r="C37" s="52">
        <f>Table110[[#This Row],[Hora]]</f>
        <v>1.5000000000000004</v>
      </c>
      <c r="D37" s="92">
        <f>Table14[[#This Row],[Fecha]]</f>
        <v>45584.49999999992</v>
      </c>
      <c r="E37" s="53" t="e">
        <f>Table110[[#This Row],[Viento m/s]]</f>
        <v>#N/A</v>
      </c>
      <c r="F37" s="94" t="e">
        <f>VLOOKUP(Table14[[#This Row],[FECHA /HORA]],TBL_CalcDarwin[],46,0)</f>
        <v>#N/A</v>
      </c>
      <c r="G37" s="94" t="e">
        <f>VLOOKUP(Table14[[#This Row],[FECHA /HORA]],TBL_CalcDarwin[],47,0)</f>
        <v>#N/A</v>
      </c>
      <c r="H37" s="94" t="e">
        <f>VLOOKUP(Table14[[#This Row],[FECHA /HORA]],TBL_CalcDarwin[],44,0)</f>
        <v>#N/A</v>
      </c>
      <c r="I37" s="94" t="e">
        <f>VLOOKUP(Table14[[#This Row],[FECHA /HORA]],TBL_CalcDarwin[],45,0)</f>
        <v>#N/A</v>
      </c>
      <c r="J37" s="53" t="e">
        <f>Table14[[#This Row],[MW Proyectada (Barra A)]]+Table14[[#This Row],[MW Proyectada (Barra B)]]</f>
        <v>#N/A</v>
      </c>
    </row>
    <row r="38" spans="2:10" x14ac:dyDescent="0.25">
      <c r="B38" s="91">
        <f>Table110[[#This Row],[Fecha]]</f>
        <v>45584.541666666584</v>
      </c>
      <c r="C38" s="52">
        <f>Table110[[#This Row],[Hora]]</f>
        <v>1.5416666666666672</v>
      </c>
      <c r="D38" s="92">
        <f>Table14[[#This Row],[Fecha]]</f>
        <v>45584.541666666584</v>
      </c>
      <c r="E38" s="53" t="e">
        <f>Table110[[#This Row],[Viento m/s]]</f>
        <v>#N/A</v>
      </c>
      <c r="F38" s="95" t="e">
        <f>VLOOKUP(Table14[[#This Row],[FECHA /HORA]],TBL_CalcDarwin[],46,0)</f>
        <v>#N/A</v>
      </c>
      <c r="G38" s="95" t="e">
        <f>VLOOKUP(Table14[[#This Row],[FECHA /HORA]],TBL_CalcDarwin[],47,0)</f>
        <v>#N/A</v>
      </c>
      <c r="H38" s="95" t="e">
        <f>VLOOKUP(Table14[[#This Row],[FECHA /HORA]],TBL_CalcDarwin[],44,0)</f>
        <v>#N/A</v>
      </c>
      <c r="I38" s="95" t="e">
        <f>VLOOKUP(Table14[[#This Row],[FECHA /HORA]],TBL_CalcDarwin[],45,0)</f>
        <v>#N/A</v>
      </c>
      <c r="J38" s="53" t="e">
        <f>Table14[[#This Row],[MW Proyectada (Barra A)]]+Table14[[#This Row],[MW Proyectada (Barra B)]]</f>
        <v>#N/A</v>
      </c>
    </row>
    <row r="39" spans="2:10" x14ac:dyDescent="0.25">
      <c r="B39" s="91">
        <f>Table110[[#This Row],[Fecha]]</f>
        <v>45584.583333333248</v>
      </c>
      <c r="C39" s="52">
        <f>Table110[[#This Row],[Hora]]</f>
        <v>1.5833333333333339</v>
      </c>
      <c r="D39" s="92">
        <f>Table14[[#This Row],[Fecha]]</f>
        <v>45584.583333333248</v>
      </c>
      <c r="E39" s="53" t="e">
        <f>Table110[[#This Row],[Viento m/s]]</f>
        <v>#N/A</v>
      </c>
      <c r="F39" s="94" t="e">
        <f>VLOOKUP(Table14[[#This Row],[FECHA /HORA]],TBL_CalcDarwin[],46,0)</f>
        <v>#N/A</v>
      </c>
      <c r="G39" s="94" t="e">
        <f>VLOOKUP(Table14[[#This Row],[FECHA /HORA]],TBL_CalcDarwin[],47,0)</f>
        <v>#N/A</v>
      </c>
      <c r="H39" s="94" t="e">
        <f>VLOOKUP(Table14[[#This Row],[FECHA /HORA]],TBL_CalcDarwin[],44,0)</f>
        <v>#N/A</v>
      </c>
      <c r="I39" s="94" t="e">
        <f>VLOOKUP(Table14[[#This Row],[FECHA /HORA]],TBL_CalcDarwin[],45,0)</f>
        <v>#N/A</v>
      </c>
      <c r="J39" s="53" t="e">
        <f>Table14[[#This Row],[MW Proyectada (Barra A)]]+Table14[[#This Row],[MW Proyectada (Barra B)]]</f>
        <v>#N/A</v>
      </c>
    </row>
    <row r="40" spans="2:10" x14ac:dyDescent="0.25">
      <c r="B40" s="91">
        <f>Table110[[#This Row],[Fecha]]</f>
        <v>45584.624999999913</v>
      </c>
      <c r="C40" s="52">
        <f>Table110[[#This Row],[Hora]]</f>
        <v>1.6250000000000007</v>
      </c>
      <c r="D40" s="92">
        <f>Table14[[#This Row],[Fecha]]</f>
        <v>45584.624999999913</v>
      </c>
      <c r="E40" s="53" t="e">
        <f>Table110[[#This Row],[Viento m/s]]</f>
        <v>#N/A</v>
      </c>
      <c r="F40" s="95" t="e">
        <f>VLOOKUP(Table14[[#This Row],[FECHA /HORA]],TBL_CalcDarwin[],46,0)</f>
        <v>#N/A</v>
      </c>
      <c r="G40" s="95" t="e">
        <f>VLOOKUP(Table14[[#This Row],[FECHA /HORA]],TBL_CalcDarwin[],47,0)</f>
        <v>#N/A</v>
      </c>
      <c r="H40" s="95" t="e">
        <f>VLOOKUP(Table14[[#This Row],[FECHA /HORA]],TBL_CalcDarwin[],44,0)</f>
        <v>#N/A</v>
      </c>
      <c r="I40" s="95" t="e">
        <f>VLOOKUP(Table14[[#This Row],[FECHA /HORA]],TBL_CalcDarwin[],45,0)</f>
        <v>#N/A</v>
      </c>
      <c r="J40" s="53" t="e">
        <f>Table14[[#This Row],[MW Proyectada (Barra A)]]+Table14[[#This Row],[MW Proyectada (Barra B)]]</f>
        <v>#N/A</v>
      </c>
    </row>
    <row r="41" spans="2:10" x14ac:dyDescent="0.25">
      <c r="B41" s="91">
        <f>Table110[[#This Row],[Fecha]]</f>
        <v>45584.666666666577</v>
      </c>
      <c r="C41" s="52">
        <f>Table110[[#This Row],[Hora]]</f>
        <v>1.6666666666666674</v>
      </c>
      <c r="D41" s="92">
        <f>Table14[[#This Row],[Fecha]]</f>
        <v>45584.666666666577</v>
      </c>
      <c r="E41" s="53" t="e">
        <f>Table110[[#This Row],[Viento m/s]]</f>
        <v>#N/A</v>
      </c>
      <c r="F41" s="94" t="e">
        <f>VLOOKUP(Table14[[#This Row],[FECHA /HORA]],TBL_CalcDarwin[],46,0)</f>
        <v>#N/A</v>
      </c>
      <c r="G41" s="94" t="e">
        <f>VLOOKUP(Table14[[#This Row],[FECHA /HORA]],TBL_CalcDarwin[],47,0)</f>
        <v>#N/A</v>
      </c>
      <c r="H41" s="94" t="e">
        <f>VLOOKUP(Table14[[#This Row],[FECHA /HORA]],TBL_CalcDarwin[],44,0)</f>
        <v>#N/A</v>
      </c>
      <c r="I41" s="94" t="e">
        <f>VLOOKUP(Table14[[#This Row],[FECHA /HORA]],TBL_CalcDarwin[],45,0)</f>
        <v>#N/A</v>
      </c>
      <c r="J41" s="53" t="e">
        <f>Table14[[#This Row],[MW Proyectada (Barra A)]]+Table14[[#This Row],[MW Proyectada (Barra B)]]</f>
        <v>#N/A</v>
      </c>
    </row>
    <row r="42" spans="2:10" x14ac:dyDescent="0.25">
      <c r="B42" s="91">
        <f>Table110[[#This Row],[Fecha]]</f>
        <v>45584.708333333241</v>
      </c>
      <c r="C42" s="52">
        <f>Table110[[#This Row],[Hora]]</f>
        <v>1.7083333333333341</v>
      </c>
      <c r="D42" s="92">
        <f>Table14[[#This Row],[Fecha]]</f>
        <v>45584.708333333241</v>
      </c>
      <c r="E42" s="53" t="e">
        <f>Table110[[#This Row],[Viento m/s]]</f>
        <v>#N/A</v>
      </c>
      <c r="F42" s="95" t="e">
        <f>VLOOKUP(Table14[[#This Row],[FECHA /HORA]],TBL_CalcDarwin[],46,0)</f>
        <v>#N/A</v>
      </c>
      <c r="G42" s="95" t="e">
        <f>VLOOKUP(Table14[[#This Row],[FECHA /HORA]],TBL_CalcDarwin[],47,0)</f>
        <v>#N/A</v>
      </c>
      <c r="H42" s="95" t="e">
        <f>VLOOKUP(Table14[[#This Row],[FECHA /HORA]],TBL_CalcDarwin[],44,0)</f>
        <v>#N/A</v>
      </c>
      <c r="I42" s="95" t="e">
        <f>VLOOKUP(Table14[[#This Row],[FECHA /HORA]],TBL_CalcDarwin[],45,0)</f>
        <v>#N/A</v>
      </c>
      <c r="J42" s="53" t="e">
        <f>Table14[[#This Row],[MW Proyectada (Barra A)]]+Table14[[#This Row],[MW Proyectada (Barra B)]]</f>
        <v>#N/A</v>
      </c>
    </row>
    <row r="43" spans="2:10" x14ac:dyDescent="0.25">
      <c r="B43" s="91">
        <f>Table110[[#This Row],[Fecha]]</f>
        <v>45584.749999999905</v>
      </c>
      <c r="C43" s="52">
        <f>Table110[[#This Row],[Hora]]</f>
        <v>1.7500000000000009</v>
      </c>
      <c r="D43" s="92">
        <f>Table14[[#This Row],[Fecha]]</f>
        <v>45584.749999999905</v>
      </c>
      <c r="E43" s="53" t="e">
        <f>Table110[[#This Row],[Viento m/s]]</f>
        <v>#N/A</v>
      </c>
      <c r="F43" s="94" t="e">
        <f>VLOOKUP(Table14[[#This Row],[FECHA /HORA]],TBL_CalcDarwin[],46,0)</f>
        <v>#N/A</v>
      </c>
      <c r="G43" s="94" t="e">
        <f>VLOOKUP(Table14[[#This Row],[FECHA /HORA]],TBL_CalcDarwin[],47,0)</f>
        <v>#N/A</v>
      </c>
      <c r="H43" s="94" t="e">
        <f>VLOOKUP(Table14[[#This Row],[FECHA /HORA]],TBL_CalcDarwin[],44,0)</f>
        <v>#N/A</v>
      </c>
      <c r="I43" s="94" t="e">
        <f>VLOOKUP(Table14[[#This Row],[FECHA /HORA]],TBL_CalcDarwin[],45,0)</f>
        <v>#N/A</v>
      </c>
      <c r="J43" s="53" t="e">
        <f>Table14[[#This Row],[MW Proyectada (Barra A)]]+Table14[[#This Row],[MW Proyectada (Barra B)]]</f>
        <v>#N/A</v>
      </c>
    </row>
    <row r="44" spans="2:10" x14ac:dyDescent="0.25">
      <c r="B44" s="91">
        <f>Table110[[#This Row],[Fecha]]</f>
        <v>45584.79166666657</v>
      </c>
      <c r="C44" s="52">
        <f>Table110[[#This Row],[Hora]]</f>
        <v>1.7916666666666676</v>
      </c>
      <c r="D44" s="92">
        <f>Table14[[#This Row],[Fecha]]</f>
        <v>45584.79166666657</v>
      </c>
      <c r="E44" s="53" t="e">
        <f>Table110[[#This Row],[Viento m/s]]</f>
        <v>#N/A</v>
      </c>
      <c r="F44" s="95" t="e">
        <f>VLOOKUP(Table14[[#This Row],[FECHA /HORA]],TBL_CalcDarwin[],46,0)</f>
        <v>#N/A</v>
      </c>
      <c r="G44" s="95" t="e">
        <f>VLOOKUP(Table14[[#This Row],[FECHA /HORA]],TBL_CalcDarwin[],47,0)</f>
        <v>#N/A</v>
      </c>
      <c r="H44" s="95" t="e">
        <f>VLOOKUP(Table14[[#This Row],[FECHA /HORA]],TBL_CalcDarwin[],44,0)</f>
        <v>#N/A</v>
      </c>
      <c r="I44" s="95" t="e">
        <f>VLOOKUP(Table14[[#This Row],[FECHA /HORA]],TBL_CalcDarwin[],45,0)</f>
        <v>#N/A</v>
      </c>
      <c r="J44" s="53" t="e">
        <f>Table14[[#This Row],[MW Proyectada (Barra A)]]+Table14[[#This Row],[MW Proyectada (Barra B)]]</f>
        <v>#N/A</v>
      </c>
    </row>
    <row r="45" spans="2:10" x14ac:dyDescent="0.25">
      <c r="B45" s="91">
        <f>Table110[[#This Row],[Fecha]]</f>
        <v>45584.833333333234</v>
      </c>
      <c r="C45" s="52">
        <f>Table110[[#This Row],[Hora]]</f>
        <v>1.8333333333333344</v>
      </c>
      <c r="D45" s="92">
        <f>Table14[[#This Row],[Fecha]]</f>
        <v>45584.833333333234</v>
      </c>
      <c r="E45" s="53" t="e">
        <f>Table110[[#This Row],[Viento m/s]]</f>
        <v>#N/A</v>
      </c>
      <c r="F45" s="94" t="e">
        <f>VLOOKUP(Table14[[#This Row],[FECHA /HORA]],TBL_CalcDarwin[],46,0)</f>
        <v>#N/A</v>
      </c>
      <c r="G45" s="94" t="e">
        <f>VLOOKUP(Table14[[#This Row],[FECHA /HORA]],TBL_CalcDarwin[],47,0)</f>
        <v>#N/A</v>
      </c>
      <c r="H45" s="94" t="e">
        <f>VLOOKUP(Table14[[#This Row],[FECHA /HORA]],TBL_CalcDarwin[],44,0)</f>
        <v>#N/A</v>
      </c>
      <c r="I45" s="94" t="e">
        <f>VLOOKUP(Table14[[#This Row],[FECHA /HORA]],TBL_CalcDarwin[],45,0)</f>
        <v>#N/A</v>
      </c>
      <c r="J45" s="53" t="e">
        <f>Table14[[#This Row],[MW Proyectada (Barra A)]]+Table14[[#This Row],[MW Proyectada (Barra B)]]</f>
        <v>#N/A</v>
      </c>
    </row>
    <row r="46" spans="2:10" x14ac:dyDescent="0.25">
      <c r="B46" s="91">
        <f>Table110[[#This Row],[Fecha]]</f>
        <v>45584.874999999898</v>
      </c>
      <c r="C46" s="52">
        <f>Table110[[#This Row],[Hora]]</f>
        <v>1.8750000000000011</v>
      </c>
      <c r="D46" s="92">
        <f>Table14[[#This Row],[Fecha]]</f>
        <v>45584.874999999898</v>
      </c>
      <c r="E46" s="53" t="e">
        <f>Table110[[#This Row],[Viento m/s]]</f>
        <v>#N/A</v>
      </c>
      <c r="F46" s="95" t="e">
        <f>VLOOKUP(Table14[[#This Row],[FECHA /HORA]],TBL_CalcDarwin[],46,0)</f>
        <v>#N/A</v>
      </c>
      <c r="G46" s="95" t="e">
        <f>VLOOKUP(Table14[[#This Row],[FECHA /HORA]],TBL_CalcDarwin[],47,0)</f>
        <v>#N/A</v>
      </c>
      <c r="H46" s="95" t="e">
        <f>VLOOKUP(Table14[[#This Row],[FECHA /HORA]],TBL_CalcDarwin[],44,0)</f>
        <v>#N/A</v>
      </c>
      <c r="I46" s="95" t="e">
        <f>VLOOKUP(Table14[[#This Row],[FECHA /HORA]],TBL_CalcDarwin[],45,0)</f>
        <v>#N/A</v>
      </c>
      <c r="J46" s="53" t="e">
        <f>Table14[[#This Row],[MW Proyectada (Barra A)]]+Table14[[#This Row],[MW Proyectada (Barra B)]]</f>
        <v>#N/A</v>
      </c>
    </row>
    <row r="47" spans="2:10" x14ac:dyDescent="0.25">
      <c r="B47" s="91">
        <f>Table110[[#This Row],[Fecha]]</f>
        <v>45584.916666666562</v>
      </c>
      <c r="C47" s="52">
        <f>Table110[[#This Row],[Hora]]</f>
        <v>1.9166666666666679</v>
      </c>
      <c r="D47" s="92">
        <f>Table14[[#This Row],[Fecha]]</f>
        <v>45584.916666666562</v>
      </c>
      <c r="E47" s="53" t="e">
        <f>Table110[[#This Row],[Viento m/s]]</f>
        <v>#N/A</v>
      </c>
      <c r="F47" s="94" t="e">
        <f>VLOOKUP(Table14[[#This Row],[FECHA /HORA]],TBL_CalcDarwin[],46,0)</f>
        <v>#N/A</v>
      </c>
      <c r="G47" s="94" t="e">
        <f>VLOOKUP(Table14[[#This Row],[FECHA /HORA]],TBL_CalcDarwin[],47,0)</f>
        <v>#N/A</v>
      </c>
      <c r="H47" s="94" t="e">
        <f>VLOOKUP(Table14[[#This Row],[FECHA /HORA]],TBL_CalcDarwin[],44,0)</f>
        <v>#N/A</v>
      </c>
      <c r="I47" s="94" t="e">
        <f>VLOOKUP(Table14[[#This Row],[FECHA /HORA]],TBL_CalcDarwin[],45,0)</f>
        <v>#N/A</v>
      </c>
      <c r="J47" s="53" t="e">
        <f>Table14[[#This Row],[MW Proyectada (Barra A)]]+Table14[[#This Row],[MW Proyectada (Barra B)]]</f>
        <v>#N/A</v>
      </c>
    </row>
    <row r="48" spans="2:10" x14ac:dyDescent="0.25">
      <c r="B48" s="91">
        <f>Table110[[#This Row],[Fecha]]</f>
        <v>45584.958333333227</v>
      </c>
      <c r="C48" s="52">
        <f>Table110[[#This Row],[Hora]]</f>
        <v>1.9583333333333346</v>
      </c>
      <c r="D48" s="92">
        <f>Table14[[#This Row],[Fecha]]</f>
        <v>45584.958333333227</v>
      </c>
      <c r="E48" s="53" t="e">
        <f>Table110[[#This Row],[Viento m/s]]</f>
        <v>#N/A</v>
      </c>
      <c r="F48" s="95" t="e">
        <f>VLOOKUP(Table14[[#This Row],[FECHA /HORA]],TBL_CalcDarwin[],46,0)</f>
        <v>#N/A</v>
      </c>
      <c r="G48" s="95" t="e">
        <f>VLOOKUP(Table14[[#This Row],[FECHA /HORA]],TBL_CalcDarwin[],47,0)</f>
        <v>#N/A</v>
      </c>
      <c r="H48" s="95" t="e">
        <f>VLOOKUP(Table14[[#This Row],[FECHA /HORA]],TBL_CalcDarwin[],44,0)</f>
        <v>#N/A</v>
      </c>
      <c r="I48" s="95" t="e">
        <f>VLOOKUP(Table14[[#This Row],[FECHA /HORA]],TBL_CalcDarwin[],45,0)</f>
        <v>#N/A</v>
      </c>
      <c r="J48" s="53" t="e">
        <f>Table14[[#This Row],[MW Proyectada (Barra A)]]+Table14[[#This Row],[MW Proyectada (Barra B)]]</f>
        <v>#N/A</v>
      </c>
    </row>
    <row r="49" spans="2:10" x14ac:dyDescent="0.25">
      <c r="B49" s="91">
        <f>Table110[[#This Row],[Fecha]]</f>
        <v>45584.999999999891</v>
      </c>
      <c r="C49" s="52">
        <f>Table110[[#This Row],[Hora]]</f>
        <v>2.0000000000000013</v>
      </c>
      <c r="D49" s="92">
        <f>Table14[[#This Row],[Fecha]]</f>
        <v>45584.999999999891</v>
      </c>
      <c r="E49" s="53" t="e">
        <f>Table110[[#This Row],[Viento m/s]]</f>
        <v>#N/A</v>
      </c>
      <c r="F49" s="94" t="e">
        <f>VLOOKUP(Table14[[#This Row],[FECHA /HORA]],TBL_CalcDarwin[],46,0)</f>
        <v>#N/A</v>
      </c>
      <c r="G49" s="94" t="e">
        <f>VLOOKUP(Table14[[#This Row],[FECHA /HORA]],TBL_CalcDarwin[],47,0)</f>
        <v>#N/A</v>
      </c>
      <c r="H49" s="94" t="e">
        <f>VLOOKUP(Table14[[#This Row],[FECHA /HORA]],TBL_CalcDarwin[],44,0)</f>
        <v>#N/A</v>
      </c>
      <c r="I49" s="94" t="e">
        <f>VLOOKUP(Table14[[#This Row],[FECHA /HORA]],TBL_CalcDarwin[],45,0)</f>
        <v>#N/A</v>
      </c>
      <c r="J49" s="53" t="e">
        <f>Table14[[#This Row],[MW Proyectada (Barra A)]]+Table14[[#This Row],[MW Proyectada (Barra B)]]</f>
        <v>#N/A</v>
      </c>
    </row>
    <row r="50" spans="2:10" x14ac:dyDescent="0.25">
      <c r="B50" s="91">
        <f>Table110[[#This Row],[Fecha]]</f>
        <v>45585.041666666555</v>
      </c>
      <c r="C50" s="52">
        <f>Table110[[#This Row],[Hora]]</f>
        <v>2.0416666666666679</v>
      </c>
      <c r="D50" s="92">
        <f>Table14[[#This Row],[Fecha]]</f>
        <v>45585.041666666555</v>
      </c>
      <c r="E50" s="53" t="e">
        <f>Table110[[#This Row],[Viento m/s]]</f>
        <v>#N/A</v>
      </c>
      <c r="F50" s="95" t="e">
        <f>VLOOKUP(Table14[[#This Row],[FECHA /HORA]],TBL_CalcDarwin[],46,0)</f>
        <v>#N/A</v>
      </c>
      <c r="G50" s="95" t="e">
        <f>VLOOKUP(Table14[[#This Row],[FECHA /HORA]],TBL_CalcDarwin[],47,0)</f>
        <v>#N/A</v>
      </c>
      <c r="H50" s="95" t="e">
        <f>VLOOKUP(Table14[[#This Row],[FECHA /HORA]],TBL_CalcDarwin[],44,0)</f>
        <v>#N/A</v>
      </c>
      <c r="I50" s="95" t="e">
        <f>VLOOKUP(Table14[[#This Row],[FECHA /HORA]],TBL_CalcDarwin[],45,0)</f>
        <v>#N/A</v>
      </c>
      <c r="J50" s="53" t="e">
        <f>Table14[[#This Row],[MW Proyectada (Barra A)]]+Table14[[#This Row],[MW Proyectada (Barra B)]]</f>
        <v>#N/A</v>
      </c>
    </row>
    <row r="51" spans="2:10" x14ac:dyDescent="0.25">
      <c r="B51" s="91">
        <f>Table110[[#This Row],[Fecha]]</f>
        <v>45585.083333333219</v>
      </c>
      <c r="C51" s="52">
        <f>Table110[[#This Row],[Hora]]</f>
        <v>2.0833333333333344</v>
      </c>
      <c r="D51" s="92">
        <f>Table14[[#This Row],[Fecha]]</f>
        <v>45585.083333333219</v>
      </c>
      <c r="E51" s="53" t="e">
        <f>Table110[[#This Row],[Viento m/s]]</f>
        <v>#N/A</v>
      </c>
      <c r="F51" s="96" t="e">
        <f>VLOOKUP(Table14[[#This Row],[FECHA /HORA]],TBL_CalcDarwin[],46,0)</f>
        <v>#N/A</v>
      </c>
      <c r="G51" s="53" t="e">
        <f>VLOOKUP(Table14[[#This Row],[FECHA /HORA]],TBL_CalcDarwin[],47,0)</f>
        <v>#N/A</v>
      </c>
      <c r="H51" s="95" t="e">
        <f>VLOOKUP(Table14[[#This Row],[FECHA /HORA]],TBL_CalcDarwin[],44,0)</f>
        <v>#N/A</v>
      </c>
      <c r="I51" s="95" t="e">
        <f>VLOOKUP(Table14[[#This Row],[FECHA /HORA]],TBL_CalcDarwin[],45,0)</f>
        <v>#N/A</v>
      </c>
      <c r="J51" s="53" t="e">
        <f>Table14[[#This Row],[MW Proyectada (Barra A)]]+Table14[[#This Row],[MW Proyectada (Barra B)]]</f>
        <v>#N/A</v>
      </c>
    </row>
    <row r="52" spans="2:10" x14ac:dyDescent="0.25">
      <c r="B52" s="91">
        <f>Table110[[#This Row],[Fecha]]</f>
        <v>45585.124999999884</v>
      </c>
      <c r="C52" s="52">
        <f>Table110[[#This Row],[Hora]]</f>
        <v>2.1250000000000009</v>
      </c>
      <c r="D52" s="92">
        <f>Table14[[#This Row],[Fecha]]</f>
        <v>45585.124999999884</v>
      </c>
      <c r="E52" s="53" t="e">
        <f>Table110[[#This Row],[Viento m/s]]</f>
        <v>#N/A</v>
      </c>
      <c r="F52" s="96" t="e">
        <f>VLOOKUP(Table14[[#This Row],[FECHA /HORA]],TBL_CalcDarwin[],46,0)</f>
        <v>#N/A</v>
      </c>
      <c r="G52" s="53" t="e">
        <f>VLOOKUP(Table14[[#This Row],[FECHA /HORA]],TBL_CalcDarwin[],47,0)</f>
        <v>#N/A</v>
      </c>
      <c r="H52" s="95" t="e">
        <f>VLOOKUP(Table14[[#This Row],[FECHA /HORA]],TBL_CalcDarwin[],44,0)</f>
        <v>#N/A</v>
      </c>
      <c r="I52" s="95" t="e">
        <f>VLOOKUP(Table14[[#This Row],[FECHA /HORA]],TBL_CalcDarwin[],45,0)</f>
        <v>#N/A</v>
      </c>
      <c r="J52" s="53" t="e">
        <f>Table14[[#This Row],[MW Proyectada (Barra A)]]+Table14[[#This Row],[MW Proyectada (Barra B)]]</f>
        <v>#N/A</v>
      </c>
    </row>
    <row r="53" spans="2:10" x14ac:dyDescent="0.25">
      <c r="B53" s="91">
        <f>Table110[[#This Row],[Fecha]]</f>
        <v>45585.166666666548</v>
      </c>
      <c r="C53" s="52">
        <f>Table110[[#This Row],[Hora]]</f>
        <v>2.1666666666666674</v>
      </c>
      <c r="D53" s="92">
        <f>Table14[[#This Row],[Fecha]]</f>
        <v>45585.166666666548</v>
      </c>
      <c r="E53" s="53" t="e">
        <f>Table110[[#This Row],[Viento m/s]]</f>
        <v>#N/A</v>
      </c>
      <c r="F53" s="96" t="e">
        <f>VLOOKUP(Table14[[#This Row],[FECHA /HORA]],TBL_CalcDarwin[],46,0)</f>
        <v>#N/A</v>
      </c>
      <c r="G53" s="53" t="e">
        <f>VLOOKUP(Table14[[#This Row],[FECHA /HORA]],TBL_CalcDarwin[],47,0)</f>
        <v>#N/A</v>
      </c>
      <c r="H53" s="95" t="e">
        <f>VLOOKUP(Table14[[#This Row],[FECHA /HORA]],TBL_CalcDarwin[],44,0)</f>
        <v>#N/A</v>
      </c>
      <c r="I53" s="95" t="e">
        <f>VLOOKUP(Table14[[#This Row],[FECHA /HORA]],TBL_CalcDarwin[],45,0)</f>
        <v>#N/A</v>
      </c>
      <c r="J53" s="53" t="e">
        <f>Table14[[#This Row],[MW Proyectada (Barra A)]]+Table14[[#This Row],[MW Proyectada (Barra B)]]</f>
        <v>#N/A</v>
      </c>
    </row>
    <row r="54" spans="2:10" x14ac:dyDescent="0.25">
      <c r="B54" s="91">
        <f>Table110[[#This Row],[Fecha]]</f>
        <v>45585.208333333212</v>
      </c>
      <c r="C54" s="52">
        <f>Table110[[#This Row],[Hora]]</f>
        <v>2.2083333333333339</v>
      </c>
      <c r="D54" s="92">
        <f>Table14[[#This Row],[Fecha]]</f>
        <v>45585.208333333212</v>
      </c>
      <c r="E54" s="53" t="e">
        <f>Table110[[#This Row],[Viento m/s]]</f>
        <v>#N/A</v>
      </c>
      <c r="F54" s="96" t="e">
        <f>VLOOKUP(Table14[[#This Row],[FECHA /HORA]],TBL_CalcDarwin[],46,0)</f>
        <v>#N/A</v>
      </c>
      <c r="G54" s="53" t="e">
        <f>VLOOKUP(Table14[[#This Row],[FECHA /HORA]],TBL_CalcDarwin[],47,0)</f>
        <v>#N/A</v>
      </c>
      <c r="H54" s="95" t="e">
        <f>VLOOKUP(Table14[[#This Row],[FECHA /HORA]],TBL_CalcDarwin[],44,0)</f>
        <v>#N/A</v>
      </c>
      <c r="I54" s="95" t="e">
        <f>VLOOKUP(Table14[[#This Row],[FECHA /HORA]],TBL_CalcDarwin[],45,0)</f>
        <v>#N/A</v>
      </c>
      <c r="J54" s="53" t="e">
        <f>Table14[[#This Row],[MW Proyectada (Barra A)]]+Table14[[#This Row],[MW Proyectada (Barra B)]]</f>
        <v>#N/A</v>
      </c>
    </row>
    <row r="55" spans="2:10" x14ac:dyDescent="0.25">
      <c r="B55" s="91">
        <f>Table110[[#This Row],[Fecha]]</f>
        <v>45585.249999999876</v>
      </c>
      <c r="C55" s="52">
        <f>Table110[[#This Row],[Hora]]</f>
        <v>2.2500000000000004</v>
      </c>
      <c r="D55" s="92">
        <f>Table14[[#This Row],[Fecha]]</f>
        <v>45585.249999999876</v>
      </c>
      <c r="E55" s="53" t="e">
        <f>Table110[[#This Row],[Viento m/s]]</f>
        <v>#N/A</v>
      </c>
      <c r="F55" s="96" t="e">
        <f>VLOOKUP(Table14[[#This Row],[FECHA /HORA]],TBL_CalcDarwin[],46,0)</f>
        <v>#N/A</v>
      </c>
      <c r="G55" s="53" t="e">
        <f>VLOOKUP(Table14[[#This Row],[FECHA /HORA]],TBL_CalcDarwin[],47,0)</f>
        <v>#N/A</v>
      </c>
      <c r="H55" s="95" t="e">
        <f>VLOOKUP(Table14[[#This Row],[FECHA /HORA]],TBL_CalcDarwin[],44,0)</f>
        <v>#N/A</v>
      </c>
      <c r="I55" s="95" t="e">
        <f>VLOOKUP(Table14[[#This Row],[FECHA /HORA]],TBL_CalcDarwin[],45,0)</f>
        <v>#N/A</v>
      </c>
      <c r="J55" s="53" t="e">
        <f>Table14[[#This Row],[MW Proyectada (Barra A)]]+Table14[[#This Row],[MW Proyectada (Barra B)]]</f>
        <v>#N/A</v>
      </c>
    </row>
    <row r="56" spans="2:10" x14ac:dyDescent="0.25">
      <c r="B56" s="91">
        <f>Table110[[#This Row],[Fecha]]</f>
        <v>45585.291666666541</v>
      </c>
      <c r="C56" s="52">
        <f>Table110[[#This Row],[Hora]]</f>
        <v>2.291666666666667</v>
      </c>
      <c r="D56" s="92">
        <f>Table14[[#This Row],[Fecha]]</f>
        <v>45585.291666666541</v>
      </c>
      <c r="E56" s="53" t="e">
        <f>Table110[[#This Row],[Viento m/s]]</f>
        <v>#N/A</v>
      </c>
      <c r="F56" s="96" t="e">
        <f>VLOOKUP(Table14[[#This Row],[FECHA /HORA]],TBL_CalcDarwin[],46,0)</f>
        <v>#N/A</v>
      </c>
      <c r="G56" s="53" t="e">
        <f>VLOOKUP(Table14[[#This Row],[FECHA /HORA]],TBL_CalcDarwin[],47,0)</f>
        <v>#N/A</v>
      </c>
      <c r="H56" s="95" t="e">
        <f>VLOOKUP(Table14[[#This Row],[FECHA /HORA]],TBL_CalcDarwin[],44,0)</f>
        <v>#N/A</v>
      </c>
      <c r="I56" s="95" t="e">
        <f>VLOOKUP(Table14[[#This Row],[FECHA /HORA]],TBL_CalcDarwin[],45,0)</f>
        <v>#N/A</v>
      </c>
      <c r="J56" s="53" t="e">
        <f>Table14[[#This Row],[MW Proyectada (Barra A)]]+Table14[[#This Row],[MW Proyectada (Barra B)]]</f>
        <v>#N/A</v>
      </c>
    </row>
    <row r="57" spans="2:10" x14ac:dyDescent="0.25">
      <c r="B57" s="91">
        <f>Table110[[#This Row],[Fecha]]</f>
        <v>45585.333333333205</v>
      </c>
      <c r="C57" s="52">
        <f>Table110[[#This Row],[Hora]]</f>
        <v>2.3333333333333335</v>
      </c>
      <c r="D57" s="92">
        <f>Table14[[#This Row],[Fecha]]</f>
        <v>45585.333333333205</v>
      </c>
      <c r="E57" s="53" t="e">
        <f>Table110[[#This Row],[Viento m/s]]</f>
        <v>#N/A</v>
      </c>
      <c r="F57" s="96" t="e">
        <f>VLOOKUP(Table14[[#This Row],[FECHA /HORA]],TBL_CalcDarwin[],46,0)</f>
        <v>#N/A</v>
      </c>
      <c r="G57" s="53" t="e">
        <f>VLOOKUP(Table14[[#This Row],[FECHA /HORA]],TBL_CalcDarwin[],47,0)</f>
        <v>#N/A</v>
      </c>
      <c r="H57" s="95" t="e">
        <f>VLOOKUP(Table14[[#This Row],[FECHA /HORA]],TBL_CalcDarwin[],44,0)</f>
        <v>#N/A</v>
      </c>
      <c r="I57" s="95" t="e">
        <f>VLOOKUP(Table14[[#This Row],[FECHA /HORA]],TBL_CalcDarwin[],45,0)</f>
        <v>#N/A</v>
      </c>
      <c r="J57" s="53" t="e">
        <f>Table14[[#This Row],[MW Proyectada (Barra A)]]+Table14[[#This Row],[MW Proyectada (Barra B)]]</f>
        <v>#N/A</v>
      </c>
    </row>
    <row r="58" spans="2:10" x14ac:dyDescent="0.25">
      <c r="B58" s="91">
        <f>Table110[[#This Row],[Fecha]]</f>
        <v>45585.374999999869</v>
      </c>
      <c r="C58" s="52">
        <f>Table110[[#This Row],[Hora]]</f>
        <v>2.375</v>
      </c>
      <c r="D58" s="92">
        <f>Table14[[#This Row],[Fecha]]</f>
        <v>45585.374999999869</v>
      </c>
      <c r="E58" s="53" t="e">
        <f>Table110[[#This Row],[Viento m/s]]</f>
        <v>#N/A</v>
      </c>
      <c r="F58" s="96" t="e">
        <f>VLOOKUP(Table14[[#This Row],[FECHA /HORA]],TBL_CalcDarwin[],46,0)</f>
        <v>#N/A</v>
      </c>
      <c r="G58" s="53" t="e">
        <f>VLOOKUP(Table14[[#This Row],[FECHA /HORA]],TBL_CalcDarwin[],47,0)</f>
        <v>#N/A</v>
      </c>
      <c r="H58" s="95" t="e">
        <f>VLOOKUP(Table14[[#This Row],[FECHA /HORA]],TBL_CalcDarwin[],44,0)</f>
        <v>#N/A</v>
      </c>
      <c r="I58" s="95" t="e">
        <f>VLOOKUP(Table14[[#This Row],[FECHA /HORA]],TBL_CalcDarwin[],45,0)</f>
        <v>#N/A</v>
      </c>
      <c r="J58" s="53" t="e">
        <f>Table14[[#This Row],[MW Proyectada (Barra A)]]+Table14[[#This Row],[MW Proyectada (Barra B)]]</f>
        <v>#N/A</v>
      </c>
    </row>
    <row r="59" spans="2:10" x14ac:dyDescent="0.25">
      <c r="B59" s="91">
        <f>Table110[[#This Row],[Fecha]]</f>
        <v>45585.416666666533</v>
      </c>
      <c r="C59" s="52">
        <f>Table110[[#This Row],[Hora]]</f>
        <v>2.4166666666666665</v>
      </c>
      <c r="D59" s="92">
        <f>Table14[[#This Row],[Fecha]]</f>
        <v>45585.416666666533</v>
      </c>
      <c r="E59" s="53" t="e">
        <f>Table110[[#This Row],[Viento m/s]]</f>
        <v>#N/A</v>
      </c>
      <c r="F59" s="96" t="e">
        <f>VLOOKUP(Table14[[#This Row],[FECHA /HORA]],TBL_CalcDarwin[],46,0)</f>
        <v>#N/A</v>
      </c>
      <c r="G59" s="53" t="e">
        <f>VLOOKUP(Table14[[#This Row],[FECHA /HORA]],TBL_CalcDarwin[],47,0)</f>
        <v>#N/A</v>
      </c>
      <c r="H59" s="95" t="e">
        <f>VLOOKUP(Table14[[#This Row],[FECHA /HORA]],TBL_CalcDarwin[],44,0)</f>
        <v>#N/A</v>
      </c>
      <c r="I59" s="95" t="e">
        <f>VLOOKUP(Table14[[#This Row],[FECHA /HORA]],TBL_CalcDarwin[],45,0)</f>
        <v>#N/A</v>
      </c>
      <c r="J59" s="53" t="e">
        <f>Table14[[#This Row],[MW Proyectada (Barra A)]]+Table14[[#This Row],[MW Proyectada (Barra B)]]</f>
        <v>#N/A</v>
      </c>
    </row>
    <row r="60" spans="2:10" x14ac:dyDescent="0.25">
      <c r="B60" s="91">
        <f>Table110[[#This Row],[Fecha]]</f>
        <v>45585.458333333198</v>
      </c>
      <c r="C60" s="52">
        <f>Table110[[#This Row],[Hora]]</f>
        <v>2.458333333333333</v>
      </c>
      <c r="D60" s="92">
        <f>Table14[[#This Row],[Fecha]]</f>
        <v>45585.458333333198</v>
      </c>
      <c r="E60" s="53" t="e">
        <f>Table110[[#This Row],[Viento m/s]]</f>
        <v>#N/A</v>
      </c>
      <c r="F60" s="96" t="e">
        <f>VLOOKUP(Table14[[#This Row],[FECHA /HORA]],TBL_CalcDarwin[],46,0)</f>
        <v>#N/A</v>
      </c>
      <c r="G60" s="53" t="e">
        <f>VLOOKUP(Table14[[#This Row],[FECHA /HORA]],TBL_CalcDarwin[],47,0)</f>
        <v>#N/A</v>
      </c>
      <c r="H60" s="95" t="e">
        <f>VLOOKUP(Table14[[#This Row],[FECHA /HORA]],TBL_CalcDarwin[],44,0)</f>
        <v>#N/A</v>
      </c>
      <c r="I60" s="95" t="e">
        <f>VLOOKUP(Table14[[#This Row],[FECHA /HORA]],TBL_CalcDarwin[],45,0)</f>
        <v>#N/A</v>
      </c>
      <c r="J60" s="53" t="e">
        <f>Table14[[#This Row],[MW Proyectada (Barra A)]]+Table14[[#This Row],[MW Proyectada (Barra B)]]</f>
        <v>#N/A</v>
      </c>
    </row>
    <row r="61" spans="2:10" x14ac:dyDescent="0.25">
      <c r="B61" s="91">
        <f>Table110[[#This Row],[Fecha]]</f>
        <v>45585.499999999862</v>
      </c>
      <c r="C61" s="52">
        <f>Table110[[#This Row],[Hora]]</f>
        <v>2.4999999999999996</v>
      </c>
      <c r="D61" s="92">
        <f>Table14[[#This Row],[Fecha]]</f>
        <v>45585.499999999862</v>
      </c>
      <c r="E61" s="53" t="e">
        <f>Table110[[#This Row],[Viento m/s]]</f>
        <v>#N/A</v>
      </c>
      <c r="F61" s="96" t="e">
        <f>VLOOKUP(Table14[[#This Row],[FECHA /HORA]],TBL_CalcDarwin[],46,0)</f>
        <v>#N/A</v>
      </c>
      <c r="G61" s="53" t="e">
        <f>VLOOKUP(Table14[[#This Row],[FECHA /HORA]],TBL_CalcDarwin[],47,0)</f>
        <v>#N/A</v>
      </c>
      <c r="H61" s="95" t="e">
        <f>VLOOKUP(Table14[[#This Row],[FECHA /HORA]],TBL_CalcDarwin[],44,0)</f>
        <v>#N/A</v>
      </c>
      <c r="I61" s="95" t="e">
        <f>VLOOKUP(Table14[[#This Row],[FECHA /HORA]],TBL_CalcDarwin[],45,0)</f>
        <v>#N/A</v>
      </c>
      <c r="J61" s="53" t="e">
        <f>Table14[[#This Row],[MW Proyectada (Barra A)]]+Table14[[#This Row],[MW Proyectada (Barra B)]]</f>
        <v>#N/A</v>
      </c>
    </row>
    <row r="62" spans="2:10" x14ac:dyDescent="0.25">
      <c r="B62" s="91">
        <f>Table110[[#This Row],[Fecha]]</f>
        <v>45585.541666666526</v>
      </c>
      <c r="C62" s="52">
        <f>Table110[[#This Row],[Hora]]</f>
        <v>2.5416666666666661</v>
      </c>
      <c r="D62" s="92">
        <f>Table14[[#This Row],[Fecha]]</f>
        <v>45585.541666666526</v>
      </c>
      <c r="E62" s="53" t="e">
        <f>Table110[[#This Row],[Viento m/s]]</f>
        <v>#N/A</v>
      </c>
      <c r="F62" s="96" t="e">
        <f>VLOOKUP(Table14[[#This Row],[FECHA /HORA]],TBL_CalcDarwin[],46,0)</f>
        <v>#N/A</v>
      </c>
      <c r="G62" s="53" t="e">
        <f>VLOOKUP(Table14[[#This Row],[FECHA /HORA]],TBL_CalcDarwin[],47,0)</f>
        <v>#N/A</v>
      </c>
      <c r="H62" s="95" t="e">
        <f>VLOOKUP(Table14[[#This Row],[FECHA /HORA]],TBL_CalcDarwin[],44,0)</f>
        <v>#N/A</v>
      </c>
      <c r="I62" s="95" t="e">
        <f>VLOOKUP(Table14[[#This Row],[FECHA /HORA]],TBL_CalcDarwin[],45,0)</f>
        <v>#N/A</v>
      </c>
      <c r="J62" s="53" t="e">
        <f>Table14[[#This Row],[MW Proyectada (Barra A)]]+Table14[[#This Row],[MW Proyectada (Barra B)]]</f>
        <v>#N/A</v>
      </c>
    </row>
    <row r="63" spans="2:10" x14ac:dyDescent="0.25">
      <c r="B63" s="91">
        <f>Table110[[#This Row],[Fecha]]</f>
        <v>45585.58333333319</v>
      </c>
      <c r="C63" s="52">
        <f>Table110[[#This Row],[Hora]]</f>
        <v>2.5833333333333326</v>
      </c>
      <c r="D63" s="92">
        <f>Table14[[#This Row],[Fecha]]</f>
        <v>45585.58333333319</v>
      </c>
      <c r="E63" s="53" t="e">
        <f>Table110[[#This Row],[Viento m/s]]</f>
        <v>#N/A</v>
      </c>
      <c r="F63" s="96" t="e">
        <f>VLOOKUP(Table14[[#This Row],[FECHA /HORA]],TBL_CalcDarwin[],46,0)</f>
        <v>#N/A</v>
      </c>
      <c r="G63" s="53" t="e">
        <f>VLOOKUP(Table14[[#This Row],[FECHA /HORA]],TBL_CalcDarwin[],47,0)</f>
        <v>#N/A</v>
      </c>
      <c r="H63" s="95" t="e">
        <f>VLOOKUP(Table14[[#This Row],[FECHA /HORA]],TBL_CalcDarwin[],44,0)</f>
        <v>#N/A</v>
      </c>
      <c r="I63" s="95" t="e">
        <f>VLOOKUP(Table14[[#This Row],[FECHA /HORA]],TBL_CalcDarwin[],45,0)</f>
        <v>#N/A</v>
      </c>
      <c r="J63" s="53" t="e">
        <f>Table14[[#This Row],[MW Proyectada (Barra A)]]+Table14[[#This Row],[MW Proyectada (Barra B)]]</f>
        <v>#N/A</v>
      </c>
    </row>
    <row r="64" spans="2:10" x14ac:dyDescent="0.25">
      <c r="B64" s="91">
        <f>Table110[[#This Row],[Fecha]]</f>
        <v>45585.624999999854</v>
      </c>
      <c r="C64" s="52">
        <f>Table110[[#This Row],[Hora]]</f>
        <v>2.6249999999999991</v>
      </c>
      <c r="D64" s="92">
        <f>Table14[[#This Row],[Fecha]]</f>
        <v>45585.624999999854</v>
      </c>
      <c r="E64" s="53" t="e">
        <f>Table110[[#This Row],[Viento m/s]]</f>
        <v>#N/A</v>
      </c>
      <c r="F64" s="96" t="e">
        <f>VLOOKUP(Table14[[#This Row],[FECHA /HORA]],TBL_CalcDarwin[],46,0)</f>
        <v>#N/A</v>
      </c>
      <c r="G64" s="53" t="e">
        <f>VLOOKUP(Table14[[#This Row],[FECHA /HORA]],TBL_CalcDarwin[],47,0)</f>
        <v>#N/A</v>
      </c>
      <c r="H64" s="95" t="e">
        <f>VLOOKUP(Table14[[#This Row],[FECHA /HORA]],TBL_CalcDarwin[],44,0)</f>
        <v>#N/A</v>
      </c>
      <c r="I64" s="95" t="e">
        <f>VLOOKUP(Table14[[#This Row],[FECHA /HORA]],TBL_CalcDarwin[],45,0)</f>
        <v>#N/A</v>
      </c>
      <c r="J64" s="53" t="e">
        <f>Table14[[#This Row],[MW Proyectada (Barra A)]]+Table14[[#This Row],[MW Proyectada (Barra B)]]</f>
        <v>#N/A</v>
      </c>
    </row>
    <row r="65" spans="2:10" x14ac:dyDescent="0.25">
      <c r="B65" s="91">
        <f>Table110[[#This Row],[Fecha]]</f>
        <v>45585.666666666519</v>
      </c>
      <c r="C65" s="52">
        <f>Table110[[#This Row],[Hora]]</f>
        <v>2.6666666666666656</v>
      </c>
      <c r="D65" s="92">
        <f>Table14[[#This Row],[Fecha]]</f>
        <v>45585.666666666519</v>
      </c>
      <c r="E65" s="53" t="e">
        <f>Table110[[#This Row],[Viento m/s]]</f>
        <v>#N/A</v>
      </c>
      <c r="F65" s="96" t="e">
        <f>VLOOKUP(Table14[[#This Row],[FECHA /HORA]],TBL_CalcDarwin[],46,0)</f>
        <v>#N/A</v>
      </c>
      <c r="G65" s="53" t="e">
        <f>VLOOKUP(Table14[[#This Row],[FECHA /HORA]],TBL_CalcDarwin[],47,0)</f>
        <v>#N/A</v>
      </c>
      <c r="H65" s="95" t="e">
        <f>VLOOKUP(Table14[[#This Row],[FECHA /HORA]],TBL_CalcDarwin[],44,0)</f>
        <v>#N/A</v>
      </c>
      <c r="I65" s="95" t="e">
        <f>VLOOKUP(Table14[[#This Row],[FECHA /HORA]],TBL_CalcDarwin[],45,0)</f>
        <v>#N/A</v>
      </c>
      <c r="J65" s="53" t="e">
        <f>Table14[[#This Row],[MW Proyectada (Barra A)]]+Table14[[#This Row],[MW Proyectada (Barra B)]]</f>
        <v>#N/A</v>
      </c>
    </row>
    <row r="66" spans="2:10" x14ac:dyDescent="0.25">
      <c r="B66" s="91">
        <f>Table110[[#This Row],[Fecha]]</f>
        <v>45585.708333333183</v>
      </c>
      <c r="C66" s="52">
        <f>Table110[[#This Row],[Hora]]</f>
        <v>2.7083333333333321</v>
      </c>
      <c r="D66" s="92">
        <f>Table14[[#This Row],[Fecha]]</f>
        <v>45585.708333333183</v>
      </c>
      <c r="E66" s="53" t="e">
        <f>Table110[[#This Row],[Viento m/s]]</f>
        <v>#N/A</v>
      </c>
      <c r="F66" s="96" t="e">
        <f>VLOOKUP(Table14[[#This Row],[FECHA /HORA]],TBL_CalcDarwin[],46,0)</f>
        <v>#N/A</v>
      </c>
      <c r="G66" s="53" t="e">
        <f>VLOOKUP(Table14[[#This Row],[FECHA /HORA]],TBL_CalcDarwin[],47,0)</f>
        <v>#N/A</v>
      </c>
      <c r="H66" s="95" t="e">
        <f>VLOOKUP(Table14[[#This Row],[FECHA /HORA]],TBL_CalcDarwin[],44,0)</f>
        <v>#N/A</v>
      </c>
      <c r="I66" s="95" t="e">
        <f>VLOOKUP(Table14[[#This Row],[FECHA /HORA]],TBL_CalcDarwin[],45,0)</f>
        <v>#N/A</v>
      </c>
      <c r="J66" s="53" t="e">
        <f>Table14[[#This Row],[MW Proyectada (Barra A)]]+Table14[[#This Row],[MW Proyectada (Barra B)]]</f>
        <v>#N/A</v>
      </c>
    </row>
    <row r="67" spans="2:10" x14ac:dyDescent="0.25">
      <c r="B67" s="91">
        <f>Table110[[#This Row],[Fecha]]</f>
        <v>45585.749999999847</v>
      </c>
      <c r="C67" s="52">
        <f>Table110[[#This Row],[Hora]]</f>
        <v>2.7499999999999987</v>
      </c>
      <c r="D67" s="92">
        <f>Table14[[#This Row],[Fecha]]</f>
        <v>45585.749999999847</v>
      </c>
      <c r="E67" s="53" t="e">
        <f>Table110[[#This Row],[Viento m/s]]</f>
        <v>#N/A</v>
      </c>
      <c r="F67" s="96" t="e">
        <f>VLOOKUP(Table14[[#This Row],[FECHA /HORA]],TBL_CalcDarwin[],46,0)</f>
        <v>#N/A</v>
      </c>
      <c r="G67" s="53" t="e">
        <f>VLOOKUP(Table14[[#This Row],[FECHA /HORA]],TBL_CalcDarwin[],47,0)</f>
        <v>#N/A</v>
      </c>
      <c r="H67" s="95" t="e">
        <f>VLOOKUP(Table14[[#This Row],[FECHA /HORA]],TBL_CalcDarwin[],44,0)</f>
        <v>#N/A</v>
      </c>
      <c r="I67" s="95" t="e">
        <f>VLOOKUP(Table14[[#This Row],[FECHA /HORA]],TBL_CalcDarwin[],45,0)</f>
        <v>#N/A</v>
      </c>
      <c r="J67" s="53" t="e">
        <f>Table14[[#This Row],[MW Proyectada (Barra A)]]+Table14[[#This Row],[MW Proyectada (Barra B)]]</f>
        <v>#N/A</v>
      </c>
    </row>
    <row r="68" spans="2:10" x14ac:dyDescent="0.25">
      <c r="B68" s="91">
        <f>Table110[[#This Row],[Fecha]]</f>
        <v>45585.791666666511</v>
      </c>
      <c r="C68" s="52">
        <f>Table110[[#This Row],[Hora]]</f>
        <v>2.7916666666666652</v>
      </c>
      <c r="D68" s="92">
        <f>Table14[[#This Row],[Fecha]]</f>
        <v>45585.791666666511</v>
      </c>
      <c r="E68" s="53" t="e">
        <f>Table110[[#This Row],[Viento m/s]]</f>
        <v>#N/A</v>
      </c>
      <c r="F68" s="96" t="e">
        <f>VLOOKUP(Table14[[#This Row],[FECHA /HORA]],TBL_CalcDarwin[],46,0)</f>
        <v>#N/A</v>
      </c>
      <c r="G68" s="53" t="e">
        <f>VLOOKUP(Table14[[#This Row],[FECHA /HORA]],TBL_CalcDarwin[],47,0)</f>
        <v>#N/A</v>
      </c>
      <c r="H68" s="95" t="e">
        <f>VLOOKUP(Table14[[#This Row],[FECHA /HORA]],TBL_CalcDarwin[],44,0)</f>
        <v>#N/A</v>
      </c>
      <c r="I68" s="95" t="e">
        <f>VLOOKUP(Table14[[#This Row],[FECHA /HORA]],TBL_CalcDarwin[],45,0)</f>
        <v>#N/A</v>
      </c>
      <c r="J68" s="53" t="e">
        <f>Table14[[#This Row],[MW Proyectada (Barra A)]]+Table14[[#This Row],[MW Proyectada (Barra B)]]</f>
        <v>#N/A</v>
      </c>
    </row>
    <row r="69" spans="2:10" x14ac:dyDescent="0.25">
      <c r="B69" s="91">
        <f>Table110[[#This Row],[Fecha]]</f>
        <v>45585.833333333176</v>
      </c>
      <c r="C69" s="52">
        <f>Table110[[#This Row],[Hora]]</f>
        <v>2.8333333333333317</v>
      </c>
      <c r="D69" s="92">
        <f>Table14[[#This Row],[Fecha]]</f>
        <v>45585.833333333176</v>
      </c>
      <c r="E69" s="53" t="e">
        <f>Table110[[#This Row],[Viento m/s]]</f>
        <v>#N/A</v>
      </c>
      <c r="F69" s="96" t="e">
        <f>VLOOKUP(Table14[[#This Row],[FECHA /HORA]],TBL_CalcDarwin[],46,0)</f>
        <v>#N/A</v>
      </c>
      <c r="G69" s="53" t="e">
        <f>VLOOKUP(Table14[[#This Row],[FECHA /HORA]],TBL_CalcDarwin[],47,0)</f>
        <v>#N/A</v>
      </c>
      <c r="H69" s="95" t="e">
        <f>VLOOKUP(Table14[[#This Row],[FECHA /HORA]],TBL_CalcDarwin[],44,0)</f>
        <v>#N/A</v>
      </c>
      <c r="I69" s="95" t="e">
        <f>VLOOKUP(Table14[[#This Row],[FECHA /HORA]],TBL_CalcDarwin[],45,0)</f>
        <v>#N/A</v>
      </c>
      <c r="J69" s="53" t="e">
        <f>Table14[[#This Row],[MW Proyectada (Barra A)]]+Table14[[#This Row],[MW Proyectada (Barra B)]]</f>
        <v>#N/A</v>
      </c>
    </row>
    <row r="70" spans="2:10" x14ac:dyDescent="0.25">
      <c r="B70" s="91">
        <f>Table110[[#This Row],[Fecha]]</f>
        <v>45585.87499999984</v>
      </c>
      <c r="C70" s="52">
        <f>Table110[[#This Row],[Hora]]</f>
        <v>2.8749999999999982</v>
      </c>
      <c r="D70" s="92">
        <f>Table14[[#This Row],[Fecha]]</f>
        <v>45585.87499999984</v>
      </c>
      <c r="E70" s="53" t="e">
        <f>Table110[[#This Row],[Viento m/s]]</f>
        <v>#N/A</v>
      </c>
      <c r="F70" s="96" t="e">
        <f>VLOOKUP(Table14[[#This Row],[FECHA /HORA]],TBL_CalcDarwin[],46,0)</f>
        <v>#N/A</v>
      </c>
      <c r="G70" s="53" t="e">
        <f>VLOOKUP(Table14[[#This Row],[FECHA /HORA]],TBL_CalcDarwin[],47,0)</f>
        <v>#N/A</v>
      </c>
      <c r="H70" s="95" t="e">
        <f>VLOOKUP(Table14[[#This Row],[FECHA /HORA]],TBL_CalcDarwin[],44,0)</f>
        <v>#N/A</v>
      </c>
      <c r="I70" s="95" t="e">
        <f>VLOOKUP(Table14[[#This Row],[FECHA /HORA]],TBL_CalcDarwin[],45,0)</f>
        <v>#N/A</v>
      </c>
      <c r="J70" s="53" t="e">
        <f>Table14[[#This Row],[MW Proyectada (Barra A)]]+Table14[[#This Row],[MW Proyectada (Barra B)]]</f>
        <v>#N/A</v>
      </c>
    </row>
    <row r="71" spans="2:10" x14ac:dyDescent="0.25">
      <c r="B71" s="91">
        <f>Table110[[#This Row],[Fecha]]</f>
        <v>45585.916666666504</v>
      </c>
      <c r="C71" s="52">
        <f>Table110[[#This Row],[Hora]]</f>
        <v>2.9166666666666647</v>
      </c>
      <c r="D71" s="92">
        <f>Table14[[#This Row],[Fecha]]</f>
        <v>45585.916666666504</v>
      </c>
      <c r="E71" s="53" t="e">
        <f>Table110[[#This Row],[Viento m/s]]</f>
        <v>#N/A</v>
      </c>
      <c r="F71" s="96" t="e">
        <f>VLOOKUP(Table14[[#This Row],[FECHA /HORA]],TBL_CalcDarwin[],46,0)</f>
        <v>#N/A</v>
      </c>
      <c r="G71" s="53" t="e">
        <f>VLOOKUP(Table14[[#This Row],[FECHA /HORA]],TBL_CalcDarwin[],47,0)</f>
        <v>#N/A</v>
      </c>
      <c r="H71" s="95" t="e">
        <f>VLOOKUP(Table14[[#This Row],[FECHA /HORA]],TBL_CalcDarwin[],44,0)</f>
        <v>#N/A</v>
      </c>
      <c r="I71" s="95" t="e">
        <f>VLOOKUP(Table14[[#This Row],[FECHA /HORA]],TBL_CalcDarwin[],45,0)</f>
        <v>#N/A</v>
      </c>
      <c r="J71" s="53" t="e">
        <f>Table14[[#This Row],[MW Proyectada (Barra A)]]+Table14[[#This Row],[MW Proyectada (Barra B)]]</f>
        <v>#N/A</v>
      </c>
    </row>
    <row r="72" spans="2:10" x14ac:dyDescent="0.25">
      <c r="B72" s="91">
        <f>Table110[[#This Row],[Fecha]]</f>
        <v>45585.958333333168</v>
      </c>
      <c r="C72" s="52">
        <f>Table110[[#This Row],[Hora]]</f>
        <v>2.9583333333333313</v>
      </c>
      <c r="D72" s="92">
        <f>Table14[[#This Row],[Fecha]]</f>
        <v>45585.958333333168</v>
      </c>
      <c r="E72" s="53" t="e">
        <f>Table110[[#This Row],[Viento m/s]]</f>
        <v>#N/A</v>
      </c>
      <c r="F72" s="96" t="e">
        <f>VLOOKUP(Table14[[#This Row],[FECHA /HORA]],TBL_CalcDarwin[],46,0)</f>
        <v>#N/A</v>
      </c>
      <c r="G72" s="53" t="e">
        <f>VLOOKUP(Table14[[#This Row],[FECHA /HORA]],TBL_CalcDarwin[],47,0)</f>
        <v>#N/A</v>
      </c>
      <c r="H72" s="95" t="e">
        <f>VLOOKUP(Table14[[#This Row],[FECHA /HORA]],TBL_CalcDarwin[],44,0)</f>
        <v>#N/A</v>
      </c>
      <c r="I72" s="95" t="e">
        <f>VLOOKUP(Table14[[#This Row],[FECHA /HORA]],TBL_CalcDarwin[],45,0)</f>
        <v>#N/A</v>
      </c>
      <c r="J72" s="53" t="e">
        <f>Table14[[#This Row],[MW Proyectada (Barra A)]]+Table14[[#This Row],[MW Proyectada (Barra B)]]</f>
        <v>#N/A</v>
      </c>
    </row>
    <row r="73" spans="2:10" x14ac:dyDescent="0.25">
      <c r="B73" s="91">
        <f>Table110[[#This Row],[Fecha]]</f>
        <v>45585.999999999833</v>
      </c>
      <c r="C73" s="52">
        <f>Table110[[#This Row],[Hora]]</f>
        <v>2.9999999999999978</v>
      </c>
      <c r="D73" s="92">
        <f>Table14[[#This Row],[Fecha]]</f>
        <v>45585.999999999833</v>
      </c>
      <c r="E73" s="53" t="e">
        <f>Table110[[#This Row],[Viento m/s]]</f>
        <v>#N/A</v>
      </c>
      <c r="F73" s="96" t="e">
        <f>VLOOKUP(Table14[[#This Row],[FECHA /HORA]],TBL_CalcDarwin[],46,0)</f>
        <v>#N/A</v>
      </c>
      <c r="G73" s="53" t="e">
        <f>VLOOKUP(Table14[[#This Row],[FECHA /HORA]],TBL_CalcDarwin[],47,0)</f>
        <v>#N/A</v>
      </c>
      <c r="H73" s="95" t="e">
        <f>VLOOKUP(Table14[[#This Row],[FECHA /HORA]],TBL_CalcDarwin[],44,0)</f>
        <v>#N/A</v>
      </c>
      <c r="I73" s="95" t="e">
        <f>VLOOKUP(Table14[[#This Row],[FECHA /HORA]],TBL_CalcDarwin[],45,0)</f>
        <v>#N/A</v>
      </c>
      <c r="J73" s="53" t="e">
        <f>Table14[[#This Row],[MW Proyectada (Barra A)]]+Table14[[#This Row],[MW Proyectada (Barra B)]]</f>
        <v>#N/A</v>
      </c>
    </row>
    <row r="74" spans="2:10" x14ac:dyDescent="0.25">
      <c r="B74" s="91">
        <f>Table110[[#This Row],[Fecha]]</f>
        <v>45586.041666666497</v>
      </c>
      <c r="C74" s="52">
        <f>Table110[[#This Row],[Hora]]</f>
        <v>3.0416666666666643</v>
      </c>
      <c r="D74" s="92">
        <f>Table14[[#This Row],[Fecha]]</f>
        <v>45586.041666666497</v>
      </c>
      <c r="E74" s="53" t="e">
        <f>Table110[[#This Row],[Viento m/s]]</f>
        <v>#N/A</v>
      </c>
      <c r="F74" s="96" t="e">
        <f>VLOOKUP(Table14[[#This Row],[FECHA /HORA]],TBL_CalcDarwin[],46,0)</f>
        <v>#N/A</v>
      </c>
      <c r="G74" s="53" t="e">
        <f>VLOOKUP(Table14[[#This Row],[FECHA /HORA]],TBL_CalcDarwin[],47,0)</f>
        <v>#N/A</v>
      </c>
      <c r="H74" s="95" t="e">
        <f>VLOOKUP(Table14[[#This Row],[FECHA /HORA]],TBL_CalcDarwin[],44,0)</f>
        <v>#N/A</v>
      </c>
      <c r="I74" s="95" t="e">
        <f>VLOOKUP(Table14[[#This Row],[FECHA /HORA]],TBL_CalcDarwin[],45,0)</f>
        <v>#N/A</v>
      </c>
      <c r="J74" s="53" t="e">
        <f>Table14[[#This Row],[MW Proyectada (Barra A)]]+Table14[[#This Row],[MW Proyectada (Barra B)]]</f>
        <v>#N/A</v>
      </c>
    </row>
    <row r="75" spans="2:10" x14ac:dyDescent="0.25">
      <c r="B75" s="91">
        <f>Table110[[#This Row],[Fecha]]</f>
        <v>45586.083333333161</v>
      </c>
      <c r="C75" s="52">
        <f>Table110[[#This Row],[Hora]]</f>
        <v>3.0833333333333308</v>
      </c>
      <c r="D75" s="92">
        <f>Table14[[#This Row],[Fecha]]</f>
        <v>45586.083333333161</v>
      </c>
      <c r="E75" s="53" t="e">
        <f>Table110[[#This Row],[Viento m/s]]</f>
        <v>#N/A</v>
      </c>
      <c r="F75" s="96" t="e">
        <f>VLOOKUP(Table14[[#This Row],[FECHA /HORA]],TBL_CalcDarwin[],46,0)</f>
        <v>#N/A</v>
      </c>
      <c r="G75" s="53" t="e">
        <f>VLOOKUP(Table14[[#This Row],[FECHA /HORA]],TBL_CalcDarwin[],47,0)</f>
        <v>#N/A</v>
      </c>
      <c r="H75" s="95" t="e">
        <f>VLOOKUP(Table14[[#This Row],[FECHA /HORA]],TBL_CalcDarwin[],44,0)</f>
        <v>#N/A</v>
      </c>
      <c r="I75" s="95" t="e">
        <f>VLOOKUP(Table14[[#This Row],[FECHA /HORA]],TBL_CalcDarwin[],45,0)</f>
        <v>#N/A</v>
      </c>
      <c r="J75" s="53" t="e">
        <f>Table14[[#This Row],[MW Proyectada (Barra A)]]+Table14[[#This Row],[MW Proyectada (Barra B)]]</f>
        <v>#N/A</v>
      </c>
    </row>
    <row r="76" spans="2:10" x14ac:dyDescent="0.25">
      <c r="B76" s="91">
        <f>Table110[[#This Row],[Fecha]]</f>
        <v>45586.124999999825</v>
      </c>
      <c r="C76" s="52">
        <f>Table110[[#This Row],[Hora]]</f>
        <v>3.1249999999999973</v>
      </c>
      <c r="D76" s="92">
        <f>Table14[[#This Row],[Fecha]]</f>
        <v>45586.124999999825</v>
      </c>
      <c r="E76" s="53" t="e">
        <f>Table110[[#This Row],[Viento m/s]]</f>
        <v>#N/A</v>
      </c>
      <c r="F76" s="96" t="e">
        <f>VLOOKUP(Table14[[#This Row],[FECHA /HORA]],TBL_CalcDarwin[],46,0)</f>
        <v>#N/A</v>
      </c>
      <c r="G76" s="53" t="e">
        <f>VLOOKUP(Table14[[#This Row],[FECHA /HORA]],TBL_CalcDarwin[],47,0)</f>
        <v>#N/A</v>
      </c>
      <c r="H76" s="95" t="e">
        <f>VLOOKUP(Table14[[#This Row],[FECHA /HORA]],TBL_CalcDarwin[],44,0)</f>
        <v>#N/A</v>
      </c>
      <c r="I76" s="95" t="e">
        <f>VLOOKUP(Table14[[#This Row],[FECHA /HORA]],TBL_CalcDarwin[],45,0)</f>
        <v>#N/A</v>
      </c>
      <c r="J76" s="53" t="e">
        <f>Table14[[#This Row],[MW Proyectada (Barra A)]]+Table14[[#This Row],[MW Proyectada (Barra B)]]</f>
        <v>#N/A</v>
      </c>
    </row>
    <row r="77" spans="2:10" x14ac:dyDescent="0.25">
      <c r="B77" s="91">
        <f>Table110[[#This Row],[Fecha]]</f>
        <v>45586.16666666649</v>
      </c>
      <c r="C77" s="52">
        <f>Table110[[#This Row],[Hora]]</f>
        <v>3.1666666666666639</v>
      </c>
      <c r="D77" s="92">
        <f>Table14[[#This Row],[Fecha]]</f>
        <v>45586.16666666649</v>
      </c>
      <c r="E77" s="53" t="e">
        <f>Table110[[#This Row],[Viento m/s]]</f>
        <v>#N/A</v>
      </c>
      <c r="F77" s="96" t="e">
        <f>VLOOKUP(Table14[[#This Row],[FECHA /HORA]],TBL_CalcDarwin[],46,0)</f>
        <v>#N/A</v>
      </c>
      <c r="G77" s="53" t="e">
        <f>VLOOKUP(Table14[[#This Row],[FECHA /HORA]],TBL_CalcDarwin[],47,0)</f>
        <v>#N/A</v>
      </c>
      <c r="H77" s="95" t="e">
        <f>VLOOKUP(Table14[[#This Row],[FECHA /HORA]],TBL_CalcDarwin[],44,0)</f>
        <v>#N/A</v>
      </c>
      <c r="I77" s="95" t="e">
        <f>VLOOKUP(Table14[[#This Row],[FECHA /HORA]],TBL_CalcDarwin[],45,0)</f>
        <v>#N/A</v>
      </c>
      <c r="J77" s="53" t="e">
        <f>Table14[[#This Row],[MW Proyectada (Barra A)]]+Table14[[#This Row],[MW Proyectada (Barra B)]]</f>
        <v>#N/A</v>
      </c>
    </row>
    <row r="78" spans="2:10" x14ac:dyDescent="0.25">
      <c r="B78" s="91">
        <f>Table110[[#This Row],[Fecha]]</f>
        <v>45586.208333333154</v>
      </c>
      <c r="C78" s="52">
        <f>Table110[[#This Row],[Hora]]</f>
        <v>3.2083333333333304</v>
      </c>
      <c r="D78" s="92">
        <f>Table14[[#This Row],[Fecha]]</f>
        <v>45586.208333333154</v>
      </c>
      <c r="E78" s="53" t="e">
        <f>Table110[[#This Row],[Viento m/s]]</f>
        <v>#N/A</v>
      </c>
      <c r="F78" s="96" t="e">
        <f>VLOOKUP(Table14[[#This Row],[FECHA /HORA]],TBL_CalcDarwin[],46,0)</f>
        <v>#N/A</v>
      </c>
      <c r="G78" s="53" t="e">
        <f>VLOOKUP(Table14[[#This Row],[FECHA /HORA]],TBL_CalcDarwin[],47,0)</f>
        <v>#N/A</v>
      </c>
      <c r="H78" s="95" t="e">
        <f>VLOOKUP(Table14[[#This Row],[FECHA /HORA]],TBL_CalcDarwin[],44,0)</f>
        <v>#N/A</v>
      </c>
      <c r="I78" s="95" t="e">
        <f>VLOOKUP(Table14[[#This Row],[FECHA /HORA]],TBL_CalcDarwin[],45,0)</f>
        <v>#N/A</v>
      </c>
      <c r="J78" s="53" t="e">
        <f>Table14[[#This Row],[MW Proyectada (Barra A)]]+Table14[[#This Row],[MW Proyectada (Barra B)]]</f>
        <v>#N/A</v>
      </c>
    </row>
    <row r="79" spans="2:10" x14ac:dyDescent="0.25">
      <c r="B79" s="91">
        <f>Table110[[#This Row],[Fecha]]</f>
        <v>45586.249999999818</v>
      </c>
      <c r="C79" s="52">
        <f>Table110[[#This Row],[Hora]]</f>
        <v>3.2499999999999969</v>
      </c>
      <c r="D79" s="92">
        <f>Table14[[#This Row],[Fecha]]</f>
        <v>45586.249999999818</v>
      </c>
      <c r="E79" s="53" t="e">
        <f>Table110[[#This Row],[Viento m/s]]</f>
        <v>#N/A</v>
      </c>
      <c r="F79" s="96" t="e">
        <f>VLOOKUP(Table14[[#This Row],[FECHA /HORA]],TBL_CalcDarwin[],46,0)</f>
        <v>#N/A</v>
      </c>
      <c r="G79" s="53" t="e">
        <f>VLOOKUP(Table14[[#This Row],[FECHA /HORA]],TBL_CalcDarwin[],47,0)</f>
        <v>#N/A</v>
      </c>
      <c r="H79" s="95" t="e">
        <f>VLOOKUP(Table14[[#This Row],[FECHA /HORA]],TBL_CalcDarwin[],44,0)</f>
        <v>#N/A</v>
      </c>
      <c r="I79" s="95" t="e">
        <f>VLOOKUP(Table14[[#This Row],[FECHA /HORA]],TBL_CalcDarwin[],45,0)</f>
        <v>#N/A</v>
      </c>
      <c r="J79" s="53" t="e">
        <f>Table14[[#This Row],[MW Proyectada (Barra A)]]+Table14[[#This Row],[MW Proyectada (Barra B)]]</f>
        <v>#N/A</v>
      </c>
    </row>
    <row r="80" spans="2:10" x14ac:dyDescent="0.25">
      <c r="B80" s="91">
        <f>Table110[[#This Row],[Fecha]]</f>
        <v>45586.291666666482</v>
      </c>
      <c r="C80" s="52">
        <f>Table110[[#This Row],[Hora]]</f>
        <v>3.2916666666666634</v>
      </c>
      <c r="D80" s="92">
        <f>Table14[[#This Row],[Fecha]]</f>
        <v>45586.291666666482</v>
      </c>
      <c r="E80" s="53" t="e">
        <f>Table110[[#This Row],[Viento m/s]]</f>
        <v>#N/A</v>
      </c>
      <c r="F80" s="96" t="e">
        <f>VLOOKUP(Table14[[#This Row],[FECHA /HORA]],TBL_CalcDarwin[],46,0)</f>
        <v>#N/A</v>
      </c>
      <c r="G80" s="53" t="e">
        <f>VLOOKUP(Table14[[#This Row],[FECHA /HORA]],TBL_CalcDarwin[],47,0)</f>
        <v>#N/A</v>
      </c>
      <c r="H80" s="95" t="e">
        <f>VLOOKUP(Table14[[#This Row],[FECHA /HORA]],TBL_CalcDarwin[],44,0)</f>
        <v>#N/A</v>
      </c>
      <c r="I80" s="95" t="e">
        <f>VLOOKUP(Table14[[#This Row],[FECHA /HORA]],TBL_CalcDarwin[],45,0)</f>
        <v>#N/A</v>
      </c>
      <c r="J80" s="53" t="e">
        <f>Table14[[#This Row],[MW Proyectada (Barra A)]]+Table14[[#This Row],[MW Proyectada (Barra B)]]</f>
        <v>#N/A</v>
      </c>
    </row>
    <row r="81" spans="2:10" x14ac:dyDescent="0.25">
      <c r="B81" s="91">
        <f>Table110[[#This Row],[Fecha]]</f>
        <v>45586.333333333147</v>
      </c>
      <c r="C81" s="52">
        <f>Table110[[#This Row],[Hora]]</f>
        <v>3.3333333333333299</v>
      </c>
      <c r="D81" s="92">
        <f>Table14[[#This Row],[Fecha]]</f>
        <v>45586.333333333147</v>
      </c>
      <c r="E81" s="53" t="e">
        <f>Table110[[#This Row],[Viento m/s]]</f>
        <v>#N/A</v>
      </c>
      <c r="F81" s="96" t="e">
        <f>VLOOKUP(Table14[[#This Row],[FECHA /HORA]],TBL_CalcDarwin[],46,0)</f>
        <v>#N/A</v>
      </c>
      <c r="G81" s="53" t="e">
        <f>VLOOKUP(Table14[[#This Row],[FECHA /HORA]],TBL_CalcDarwin[],47,0)</f>
        <v>#N/A</v>
      </c>
      <c r="H81" s="95" t="e">
        <f>VLOOKUP(Table14[[#This Row],[FECHA /HORA]],TBL_CalcDarwin[],44,0)</f>
        <v>#N/A</v>
      </c>
      <c r="I81" s="95" t="e">
        <f>VLOOKUP(Table14[[#This Row],[FECHA /HORA]],TBL_CalcDarwin[],45,0)</f>
        <v>#N/A</v>
      </c>
      <c r="J81" s="53" t="e">
        <f>Table14[[#This Row],[MW Proyectada (Barra A)]]+Table14[[#This Row],[MW Proyectada (Barra B)]]</f>
        <v>#N/A</v>
      </c>
    </row>
    <row r="82" spans="2:10" x14ac:dyDescent="0.25">
      <c r="B82" s="91">
        <f>Table110[[#This Row],[Fecha]]</f>
        <v>45586.374999999811</v>
      </c>
      <c r="C82" s="52">
        <f>Table110[[#This Row],[Hora]]</f>
        <v>3.3749999999999964</v>
      </c>
      <c r="D82" s="92">
        <f>Table14[[#This Row],[Fecha]]</f>
        <v>45586.374999999811</v>
      </c>
      <c r="E82" s="53" t="e">
        <f>Table110[[#This Row],[Viento m/s]]</f>
        <v>#N/A</v>
      </c>
      <c r="F82" s="96" t="e">
        <f>VLOOKUP(Table14[[#This Row],[FECHA /HORA]],TBL_CalcDarwin[],46,0)</f>
        <v>#N/A</v>
      </c>
      <c r="G82" s="53" t="e">
        <f>VLOOKUP(Table14[[#This Row],[FECHA /HORA]],TBL_CalcDarwin[],47,0)</f>
        <v>#N/A</v>
      </c>
      <c r="H82" s="95" t="e">
        <f>VLOOKUP(Table14[[#This Row],[FECHA /HORA]],TBL_CalcDarwin[],44,0)</f>
        <v>#N/A</v>
      </c>
      <c r="I82" s="95" t="e">
        <f>VLOOKUP(Table14[[#This Row],[FECHA /HORA]],TBL_CalcDarwin[],45,0)</f>
        <v>#N/A</v>
      </c>
      <c r="J82" s="53" t="e">
        <f>Table14[[#This Row],[MW Proyectada (Barra A)]]+Table14[[#This Row],[MW Proyectada (Barra B)]]</f>
        <v>#N/A</v>
      </c>
    </row>
    <row r="83" spans="2:10" x14ac:dyDescent="0.25">
      <c r="B83" s="91">
        <f>Table110[[#This Row],[Fecha]]</f>
        <v>45586.416666666475</v>
      </c>
      <c r="C83" s="52">
        <f>Table110[[#This Row],[Hora]]</f>
        <v>3.416666666666663</v>
      </c>
      <c r="D83" s="92">
        <f>Table14[[#This Row],[Fecha]]</f>
        <v>45586.416666666475</v>
      </c>
      <c r="E83" s="53" t="e">
        <f>Table110[[#This Row],[Viento m/s]]</f>
        <v>#N/A</v>
      </c>
      <c r="F83" s="96" t="e">
        <f>VLOOKUP(Table14[[#This Row],[FECHA /HORA]],TBL_CalcDarwin[],46,0)</f>
        <v>#N/A</v>
      </c>
      <c r="G83" s="53" t="e">
        <f>VLOOKUP(Table14[[#This Row],[FECHA /HORA]],TBL_CalcDarwin[],47,0)</f>
        <v>#N/A</v>
      </c>
      <c r="H83" s="95" t="e">
        <f>VLOOKUP(Table14[[#This Row],[FECHA /HORA]],TBL_CalcDarwin[],44,0)</f>
        <v>#N/A</v>
      </c>
      <c r="I83" s="95" t="e">
        <f>VLOOKUP(Table14[[#This Row],[FECHA /HORA]],TBL_CalcDarwin[],45,0)</f>
        <v>#N/A</v>
      </c>
      <c r="J83" s="53" t="e">
        <f>Table14[[#This Row],[MW Proyectada (Barra A)]]+Table14[[#This Row],[MW Proyectada (Barra B)]]</f>
        <v>#N/A</v>
      </c>
    </row>
    <row r="84" spans="2:10" x14ac:dyDescent="0.25">
      <c r="B84" s="91">
        <f>Table110[[#This Row],[Fecha]]</f>
        <v>45586.458333333139</v>
      </c>
      <c r="C84" s="52">
        <f>Table110[[#This Row],[Hora]]</f>
        <v>3.4583333333333295</v>
      </c>
      <c r="D84" s="92">
        <f>Table14[[#This Row],[Fecha]]</f>
        <v>45586.458333333139</v>
      </c>
      <c r="E84" s="53" t="e">
        <f>Table110[[#This Row],[Viento m/s]]</f>
        <v>#N/A</v>
      </c>
      <c r="F84" s="96" t="e">
        <f>VLOOKUP(Table14[[#This Row],[FECHA /HORA]],TBL_CalcDarwin[],46,0)</f>
        <v>#N/A</v>
      </c>
      <c r="G84" s="53" t="e">
        <f>VLOOKUP(Table14[[#This Row],[FECHA /HORA]],TBL_CalcDarwin[],47,0)</f>
        <v>#N/A</v>
      </c>
      <c r="H84" s="95" t="e">
        <f>VLOOKUP(Table14[[#This Row],[FECHA /HORA]],TBL_CalcDarwin[],44,0)</f>
        <v>#N/A</v>
      </c>
      <c r="I84" s="95" t="e">
        <f>VLOOKUP(Table14[[#This Row],[FECHA /HORA]],TBL_CalcDarwin[],45,0)</f>
        <v>#N/A</v>
      </c>
      <c r="J84" s="53" t="e">
        <f>Table14[[#This Row],[MW Proyectada (Barra A)]]+Table14[[#This Row],[MW Proyectada (Barra B)]]</f>
        <v>#N/A</v>
      </c>
    </row>
    <row r="85" spans="2:10" x14ac:dyDescent="0.25">
      <c r="B85" s="91">
        <f>Table110[[#This Row],[Fecha]]</f>
        <v>45586.499999999804</v>
      </c>
      <c r="C85" s="52">
        <f>Table110[[#This Row],[Hora]]</f>
        <v>3.499999999999996</v>
      </c>
      <c r="D85" s="92">
        <f>Table14[[#This Row],[Fecha]]</f>
        <v>45586.499999999804</v>
      </c>
      <c r="E85" s="53" t="e">
        <f>Table110[[#This Row],[Viento m/s]]</f>
        <v>#N/A</v>
      </c>
      <c r="F85" s="96" t="e">
        <f>VLOOKUP(Table14[[#This Row],[FECHA /HORA]],TBL_CalcDarwin[],46,0)</f>
        <v>#N/A</v>
      </c>
      <c r="G85" s="53" t="e">
        <f>VLOOKUP(Table14[[#This Row],[FECHA /HORA]],TBL_CalcDarwin[],47,0)</f>
        <v>#N/A</v>
      </c>
      <c r="H85" s="95" t="e">
        <f>VLOOKUP(Table14[[#This Row],[FECHA /HORA]],TBL_CalcDarwin[],44,0)</f>
        <v>#N/A</v>
      </c>
      <c r="I85" s="95" t="e">
        <f>VLOOKUP(Table14[[#This Row],[FECHA /HORA]],TBL_CalcDarwin[],45,0)</f>
        <v>#N/A</v>
      </c>
      <c r="J85" s="53" t="e">
        <f>Table14[[#This Row],[MW Proyectada (Barra A)]]+Table14[[#This Row],[MW Proyectada (Barra B)]]</f>
        <v>#N/A</v>
      </c>
    </row>
    <row r="86" spans="2:10" x14ac:dyDescent="0.25">
      <c r="B86" s="91">
        <f>Table110[[#This Row],[Fecha]]</f>
        <v>45586.541666666468</v>
      </c>
      <c r="C86" s="52">
        <f>Table110[[#This Row],[Hora]]</f>
        <v>3.5416666666666625</v>
      </c>
      <c r="D86" s="92">
        <f>Table14[[#This Row],[Fecha]]</f>
        <v>45586.541666666468</v>
      </c>
      <c r="E86" s="53" t="e">
        <f>Table110[[#This Row],[Viento m/s]]</f>
        <v>#N/A</v>
      </c>
      <c r="F86" s="96" t="e">
        <f>VLOOKUP(Table14[[#This Row],[FECHA /HORA]],TBL_CalcDarwin[],46,0)</f>
        <v>#N/A</v>
      </c>
      <c r="G86" s="53" t="e">
        <f>VLOOKUP(Table14[[#This Row],[FECHA /HORA]],TBL_CalcDarwin[],47,0)</f>
        <v>#N/A</v>
      </c>
      <c r="H86" s="95" t="e">
        <f>VLOOKUP(Table14[[#This Row],[FECHA /HORA]],TBL_CalcDarwin[],44,0)</f>
        <v>#N/A</v>
      </c>
      <c r="I86" s="95" t="e">
        <f>VLOOKUP(Table14[[#This Row],[FECHA /HORA]],TBL_CalcDarwin[],45,0)</f>
        <v>#N/A</v>
      </c>
      <c r="J86" s="53" t="e">
        <f>Table14[[#This Row],[MW Proyectada (Barra A)]]+Table14[[#This Row],[MW Proyectada (Barra B)]]</f>
        <v>#N/A</v>
      </c>
    </row>
    <row r="87" spans="2:10" x14ac:dyDescent="0.25">
      <c r="B87" s="91">
        <f>Table110[[#This Row],[Fecha]]</f>
        <v>45586.583333333132</v>
      </c>
      <c r="C87" s="52">
        <f>Table110[[#This Row],[Hora]]</f>
        <v>3.583333333333329</v>
      </c>
      <c r="D87" s="92">
        <f>Table14[[#This Row],[Fecha]]</f>
        <v>45586.583333333132</v>
      </c>
      <c r="E87" s="53" t="e">
        <f>Table110[[#This Row],[Viento m/s]]</f>
        <v>#N/A</v>
      </c>
      <c r="F87" s="96" t="e">
        <f>VLOOKUP(Table14[[#This Row],[FECHA /HORA]],TBL_CalcDarwin[],46,0)</f>
        <v>#N/A</v>
      </c>
      <c r="G87" s="53" t="e">
        <f>VLOOKUP(Table14[[#This Row],[FECHA /HORA]],TBL_CalcDarwin[],47,0)</f>
        <v>#N/A</v>
      </c>
      <c r="H87" s="95" t="e">
        <f>VLOOKUP(Table14[[#This Row],[FECHA /HORA]],TBL_CalcDarwin[],44,0)</f>
        <v>#N/A</v>
      </c>
      <c r="I87" s="95" t="e">
        <f>VLOOKUP(Table14[[#This Row],[FECHA /HORA]],TBL_CalcDarwin[],45,0)</f>
        <v>#N/A</v>
      </c>
      <c r="J87" s="53" t="e">
        <f>Table14[[#This Row],[MW Proyectada (Barra A)]]+Table14[[#This Row],[MW Proyectada (Barra B)]]</f>
        <v>#N/A</v>
      </c>
    </row>
    <row r="88" spans="2:10" x14ac:dyDescent="0.25">
      <c r="B88" s="91">
        <f>Table110[[#This Row],[Fecha]]</f>
        <v>45586.624999999796</v>
      </c>
      <c r="C88" s="52">
        <f>Table110[[#This Row],[Hora]]</f>
        <v>3.6249999999999956</v>
      </c>
      <c r="D88" s="92">
        <f>Table14[[#This Row],[Fecha]]</f>
        <v>45586.624999999796</v>
      </c>
      <c r="E88" s="53" t="e">
        <f>Table110[[#This Row],[Viento m/s]]</f>
        <v>#N/A</v>
      </c>
      <c r="F88" s="96" t="e">
        <f>VLOOKUP(Table14[[#This Row],[FECHA /HORA]],TBL_CalcDarwin[],46,0)</f>
        <v>#N/A</v>
      </c>
      <c r="G88" s="53" t="e">
        <f>VLOOKUP(Table14[[#This Row],[FECHA /HORA]],TBL_CalcDarwin[],47,0)</f>
        <v>#N/A</v>
      </c>
      <c r="H88" s="95" t="e">
        <f>VLOOKUP(Table14[[#This Row],[FECHA /HORA]],TBL_CalcDarwin[],44,0)</f>
        <v>#N/A</v>
      </c>
      <c r="I88" s="95" t="e">
        <f>VLOOKUP(Table14[[#This Row],[FECHA /HORA]],TBL_CalcDarwin[],45,0)</f>
        <v>#N/A</v>
      </c>
      <c r="J88" s="53" t="e">
        <f>Table14[[#This Row],[MW Proyectada (Barra A)]]+Table14[[#This Row],[MW Proyectada (Barra B)]]</f>
        <v>#N/A</v>
      </c>
    </row>
    <row r="89" spans="2:10" x14ac:dyDescent="0.25">
      <c r="B89" s="91">
        <f>Table110[[#This Row],[Fecha]]</f>
        <v>45586.666666666461</v>
      </c>
      <c r="C89" s="52">
        <f>Table110[[#This Row],[Hora]]</f>
        <v>3.6666666666666621</v>
      </c>
      <c r="D89" s="92">
        <f>Table14[[#This Row],[Fecha]]</f>
        <v>45586.666666666461</v>
      </c>
      <c r="E89" s="53" t="e">
        <f>Table110[[#This Row],[Viento m/s]]</f>
        <v>#N/A</v>
      </c>
      <c r="F89" s="96" t="e">
        <f>VLOOKUP(Table14[[#This Row],[FECHA /HORA]],TBL_CalcDarwin[],46,0)</f>
        <v>#N/A</v>
      </c>
      <c r="G89" s="53" t="e">
        <f>VLOOKUP(Table14[[#This Row],[FECHA /HORA]],TBL_CalcDarwin[],47,0)</f>
        <v>#N/A</v>
      </c>
      <c r="H89" s="95" t="e">
        <f>VLOOKUP(Table14[[#This Row],[FECHA /HORA]],TBL_CalcDarwin[],44,0)</f>
        <v>#N/A</v>
      </c>
      <c r="I89" s="95" t="e">
        <f>VLOOKUP(Table14[[#This Row],[FECHA /HORA]],TBL_CalcDarwin[],45,0)</f>
        <v>#N/A</v>
      </c>
      <c r="J89" s="53" t="e">
        <f>Table14[[#This Row],[MW Proyectada (Barra A)]]+Table14[[#This Row],[MW Proyectada (Barra B)]]</f>
        <v>#N/A</v>
      </c>
    </row>
    <row r="90" spans="2:10" x14ac:dyDescent="0.25">
      <c r="B90" s="91">
        <f>Table110[[#This Row],[Fecha]]</f>
        <v>45586.708333333125</v>
      </c>
      <c r="C90" s="52">
        <f>Table110[[#This Row],[Hora]]</f>
        <v>3.7083333333333286</v>
      </c>
      <c r="D90" s="92">
        <f>Table14[[#This Row],[Fecha]]</f>
        <v>45586.708333333125</v>
      </c>
      <c r="E90" s="53" t="e">
        <f>Table110[[#This Row],[Viento m/s]]</f>
        <v>#N/A</v>
      </c>
      <c r="F90" s="96" t="e">
        <f>VLOOKUP(Table14[[#This Row],[FECHA /HORA]],TBL_CalcDarwin[],46,0)</f>
        <v>#N/A</v>
      </c>
      <c r="G90" s="53" t="e">
        <f>VLOOKUP(Table14[[#This Row],[FECHA /HORA]],TBL_CalcDarwin[],47,0)</f>
        <v>#N/A</v>
      </c>
      <c r="H90" s="95" t="e">
        <f>VLOOKUP(Table14[[#This Row],[FECHA /HORA]],TBL_CalcDarwin[],44,0)</f>
        <v>#N/A</v>
      </c>
      <c r="I90" s="95" t="e">
        <f>VLOOKUP(Table14[[#This Row],[FECHA /HORA]],TBL_CalcDarwin[],45,0)</f>
        <v>#N/A</v>
      </c>
      <c r="J90" s="53" t="e">
        <f>Table14[[#This Row],[MW Proyectada (Barra A)]]+Table14[[#This Row],[MW Proyectada (Barra B)]]</f>
        <v>#N/A</v>
      </c>
    </row>
    <row r="91" spans="2:10" x14ac:dyDescent="0.25">
      <c r="B91" s="91">
        <f>Table110[[#This Row],[Fecha]]</f>
        <v>45586.749999999789</v>
      </c>
      <c r="C91" s="52">
        <f>Table110[[#This Row],[Hora]]</f>
        <v>3.7499999999999951</v>
      </c>
      <c r="D91" s="92">
        <f>Table14[[#This Row],[Fecha]]</f>
        <v>45586.749999999789</v>
      </c>
      <c r="E91" s="53" t="e">
        <f>Table110[[#This Row],[Viento m/s]]</f>
        <v>#N/A</v>
      </c>
      <c r="F91" s="96" t="e">
        <f>VLOOKUP(Table14[[#This Row],[FECHA /HORA]],TBL_CalcDarwin[],46,0)</f>
        <v>#N/A</v>
      </c>
      <c r="G91" s="53" t="e">
        <f>VLOOKUP(Table14[[#This Row],[FECHA /HORA]],TBL_CalcDarwin[],47,0)</f>
        <v>#N/A</v>
      </c>
      <c r="H91" s="95" t="e">
        <f>VLOOKUP(Table14[[#This Row],[FECHA /HORA]],TBL_CalcDarwin[],44,0)</f>
        <v>#N/A</v>
      </c>
      <c r="I91" s="95" t="e">
        <f>VLOOKUP(Table14[[#This Row],[FECHA /HORA]],TBL_CalcDarwin[],45,0)</f>
        <v>#N/A</v>
      </c>
      <c r="J91" s="53" t="e">
        <f>Table14[[#This Row],[MW Proyectada (Barra A)]]+Table14[[#This Row],[MW Proyectada (Barra B)]]</f>
        <v>#N/A</v>
      </c>
    </row>
    <row r="92" spans="2:10" x14ac:dyDescent="0.25">
      <c r="B92" s="91">
        <f>Table110[[#This Row],[Fecha]]</f>
        <v>45586.791666666453</v>
      </c>
      <c r="C92" s="52">
        <f>Table110[[#This Row],[Hora]]</f>
        <v>3.7916666666666616</v>
      </c>
      <c r="D92" s="92">
        <f>Table14[[#This Row],[Fecha]]</f>
        <v>45586.791666666453</v>
      </c>
      <c r="E92" s="53" t="e">
        <f>Table110[[#This Row],[Viento m/s]]</f>
        <v>#N/A</v>
      </c>
      <c r="F92" s="96" t="e">
        <f>VLOOKUP(Table14[[#This Row],[FECHA /HORA]],TBL_CalcDarwin[],46,0)</f>
        <v>#N/A</v>
      </c>
      <c r="G92" s="53" t="e">
        <f>VLOOKUP(Table14[[#This Row],[FECHA /HORA]],TBL_CalcDarwin[],47,0)</f>
        <v>#N/A</v>
      </c>
      <c r="H92" s="95" t="e">
        <f>VLOOKUP(Table14[[#This Row],[FECHA /HORA]],TBL_CalcDarwin[],44,0)</f>
        <v>#N/A</v>
      </c>
      <c r="I92" s="95" t="e">
        <f>VLOOKUP(Table14[[#This Row],[FECHA /HORA]],TBL_CalcDarwin[],45,0)</f>
        <v>#N/A</v>
      </c>
      <c r="J92" s="53" t="e">
        <f>Table14[[#This Row],[MW Proyectada (Barra A)]]+Table14[[#This Row],[MW Proyectada (Barra B)]]</f>
        <v>#N/A</v>
      </c>
    </row>
    <row r="93" spans="2:10" x14ac:dyDescent="0.25">
      <c r="B93" s="91">
        <f>Table110[[#This Row],[Fecha]]</f>
        <v>45586.833333333117</v>
      </c>
      <c r="C93" s="52">
        <f>Table110[[#This Row],[Hora]]</f>
        <v>3.8333333333333282</v>
      </c>
      <c r="D93" s="92">
        <f>Table14[[#This Row],[Fecha]]</f>
        <v>45586.833333333117</v>
      </c>
      <c r="E93" s="53" t="e">
        <f>Table110[[#This Row],[Viento m/s]]</f>
        <v>#N/A</v>
      </c>
      <c r="F93" s="96" t="e">
        <f>VLOOKUP(Table14[[#This Row],[FECHA /HORA]],TBL_CalcDarwin[],46,0)</f>
        <v>#N/A</v>
      </c>
      <c r="G93" s="53" t="e">
        <f>VLOOKUP(Table14[[#This Row],[FECHA /HORA]],TBL_CalcDarwin[],47,0)</f>
        <v>#N/A</v>
      </c>
      <c r="H93" s="95" t="e">
        <f>VLOOKUP(Table14[[#This Row],[FECHA /HORA]],TBL_CalcDarwin[],44,0)</f>
        <v>#N/A</v>
      </c>
      <c r="I93" s="95" t="e">
        <f>VLOOKUP(Table14[[#This Row],[FECHA /HORA]],TBL_CalcDarwin[],45,0)</f>
        <v>#N/A</v>
      </c>
      <c r="J93" s="53" t="e">
        <f>Table14[[#This Row],[MW Proyectada (Barra A)]]+Table14[[#This Row],[MW Proyectada (Barra B)]]</f>
        <v>#N/A</v>
      </c>
    </row>
    <row r="94" spans="2:10" x14ac:dyDescent="0.25">
      <c r="B94" s="91">
        <f>Table110[[#This Row],[Fecha]]</f>
        <v>45586.874999999782</v>
      </c>
      <c r="C94" s="52">
        <f>Table110[[#This Row],[Hora]]</f>
        <v>3.8749999999999947</v>
      </c>
      <c r="D94" s="92">
        <f>Table14[[#This Row],[Fecha]]</f>
        <v>45586.874999999782</v>
      </c>
      <c r="E94" s="53" t="e">
        <f>Table110[[#This Row],[Viento m/s]]</f>
        <v>#N/A</v>
      </c>
      <c r="F94" s="96" t="e">
        <f>VLOOKUP(Table14[[#This Row],[FECHA /HORA]],TBL_CalcDarwin[],46,0)</f>
        <v>#N/A</v>
      </c>
      <c r="G94" s="53" t="e">
        <f>VLOOKUP(Table14[[#This Row],[FECHA /HORA]],TBL_CalcDarwin[],47,0)</f>
        <v>#N/A</v>
      </c>
      <c r="H94" s="95" t="e">
        <f>VLOOKUP(Table14[[#This Row],[FECHA /HORA]],TBL_CalcDarwin[],44,0)</f>
        <v>#N/A</v>
      </c>
      <c r="I94" s="95" t="e">
        <f>VLOOKUP(Table14[[#This Row],[FECHA /HORA]],TBL_CalcDarwin[],45,0)</f>
        <v>#N/A</v>
      </c>
      <c r="J94" s="53" t="e">
        <f>Table14[[#This Row],[MW Proyectada (Barra A)]]+Table14[[#This Row],[MW Proyectada (Barra B)]]</f>
        <v>#N/A</v>
      </c>
    </row>
    <row r="95" spans="2:10" x14ac:dyDescent="0.25">
      <c r="B95" s="91">
        <f>Table110[[#This Row],[Fecha]]</f>
        <v>45586.916666666446</v>
      </c>
      <c r="C95" s="52">
        <f>Table110[[#This Row],[Hora]]</f>
        <v>3.9166666666666612</v>
      </c>
      <c r="D95" s="92">
        <f>Table14[[#This Row],[Fecha]]</f>
        <v>45586.916666666446</v>
      </c>
      <c r="E95" s="53" t="e">
        <f>Table110[[#This Row],[Viento m/s]]</f>
        <v>#N/A</v>
      </c>
      <c r="F95" s="96" t="e">
        <f>VLOOKUP(Table14[[#This Row],[FECHA /HORA]],TBL_CalcDarwin[],46,0)</f>
        <v>#N/A</v>
      </c>
      <c r="G95" s="53" t="e">
        <f>VLOOKUP(Table14[[#This Row],[FECHA /HORA]],TBL_CalcDarwin[],47,0)</f>
        <v>#N/A</v>
      </c>
      <c r="H95" s="95" t="e">
        <f>VLOOKUP(Table14[[#This Row],[FECHA /HORA]],TBL_CalcDarwin[],44,0)</f>
        <v>#N/A</v>
      </c>
      <c r="I95" s="95" t="e">
        <f>VLOOKUP(Table14[[#This Row],[FECHA /HORA]],TBL_CalcDarwin[],45,0)</f>
        <v>#N/A</v>
      </c>
      <c r="J95" s="53" t="e">
        <f>Table14[[#This Row],[MW Proyectada (Barra A)]]+Table14[[#This Row],[MW Proyectada (Barra B)]]</f>
        <v>#N/A</v>
      </c>
    </row>
    <row r="96" spans="2:10" x14ac:dyDescent="0.25">
      <c r="B96" s="91">
        <f>Table110[[#This Row],[Fecha]]</f>
        <v>45586.95833333311</v>
      </c>
      <c r="C96" s="52">
        <f>Table110[[#This Row],[Hora]]</f>
        <v>3.9583333333333277</v>
      </c>
      <c r="D96" s="92">
        <f>Table14[[#This Row],[Fecha]]</f>
        <v>45586.95833333311</v>
      </c>
      <c r="E96" s="53" t="e">
        <f>Table110[[#This Row],[Viento m/s]]</f>
        <v>#N/A</v>
      </c>
      <c r="F96" s="96" t="e">
        <f>VLOOKUP(Table14[[#This Row],[FECHA /HORA]],TBL_CalcDarwin[],46,0)</f>
        <v>#N/A</v>
      </c>
      <c r="G96" s="53" t="e">
        <f>VLOOKUP(Table14[[#This Row],[FECHA /HORA]],TBL_CalcDarwin[],47,0)</f>
        <v>#N/A</v>
      </c>
      <c r="H96" s="95" t="e">
        <f>VLOOKUP(Table14[[#This Row],[FECHA /HORA]],TBL_CalcDarwin[],44,0)</f>
        <v>#N/A</v>
      </c>
      <c r="I96" s="95" t="e">
        <f>VLOOKUP(Table14[[#This Row],[FECHA /HORA]],TBL_CalcDarwin[],45,0)</f>
        <v>#N/A</v>
      </c>
      <c r="J96" s="53" t="e">
        <f>Table14[[#This Row],[MW Proyectada (Barra A)]]+Table14[[#This Row],[MW Proyectada (Barra B)]]</f>
        <v>#N/A</v>
      </c>
    </row>
    <row r="97" spans="2:10" x14ac:dyDescent="0.25">
      <c r="B97" s="91">
        <f>Table110[[#This Row],[Fecha]]</f>
        <v>45586.999999999774</v>
      </c>
      <c r="C97" s="52">
        <f>Table110[[#This Row],[Hora]]</f>
        <v>3.9999999999999942</v>
      </c>
      <c r="D97" s="92">
        <f>Table14[[#This Row],[Fecha]]</f>
        <v>45586.999999999774</v>
      </c>
      <c r="E97" s="53" t="e">
        <f>Table110[[#This Row],[Viento m/s]]</f>
        <v>#N/A</v>
      </c>
      <c r="F97" s="96" t="e">
        <f>VLOOKUP(Table14[[#This Row],[FECHA /HORA]],TBL_CalcDarwin[],46,0)</f>
        <v>#N/A</v>
      </c>
      <c r="G97" s="53" t="e">
        <f>VLOOKUP(Table14[[#This Row],[FECHA /HORA]],TBL_CalcDarwin[],47,0)</f>
        <v>#N/A</v>
      </c>
      <c r="H97" s="95" t="e">
        <f>VLOOKUP(Table14[[#This Row],[FECHA /HORA]],TBL_CalcDarwin[],44,0)</f>
        <v>#N/A</v>
      </c>
      <c r="I97" s="95" t="e">
        <f>VLOOKUP(Table14[[#This Row],[FECHA /HORA]],TBL_CalcDarwin[],45,0)</f>
        <v>#N/A</v>
      </c>
      <c r="J97" s="53" t="e">
        <f>Table14[[#This Row],[MW Proyectada (Barra A)]]+Table14[[#This Row],[MW Proyectada (Barra B)]]</f>
        <v>#N/A</v>
      </c>
    </row>
    <row r="98" spans="2:10" x14ac:dyDescent="0.25">
      <c r="B98" s="91">
        <f>Table110[[#This Row],[Fecha]]</f>
        <v>45587.041666666439</v>
      </c>
      <c r="C98" s="52">
        <f>Table110[[#This Row],[Hora]]</f>
        <v>4.0416666666666607</v>
      </c>
      <c r="D98" s="92">
        <f>Table14[[#This Row],[Fecha]]</f>
        <v>45587.041666666439</v>
      </c>
      <c r="E98" s="53" t="e">
        <f>Table110[[#This Row],[Viento m/s]]</f>
        <v>#N/A</v>
      </c>
      <c r="F98" s="97" t="e">
        <f>VLOOKUP(Table14[[#This Row],[FECHA /HORA]],TBL_CalcDarwin[],46,0)</f>
        <v>#N/A</v>
      </c>
      <c r="G98" s="53" t="e">
        <f>VLOOKUP(Table14[[#This Row],[FECHA /HORA]],TBL_CalcDarwin[],47,0)</f>
        <v>#N/A</v>
      </c>
      <c r="H98" s="95" t="e">
        <f>VLOOKUP(Table14[[#This Row],[FECHA /HORA]],TBL_CalcDarwin[],44,0)</f>
        <v>#N/A</v>
      </c>
      <c r="I98" s="95" t="e">
        <f>VLOOKUP(Table14[[#This Row],[FECHA /HORA]],TBL_CalcDarwin[],45,0)</f>
        <v>#N/A</v>
      </c>
      <c r="J98" s="53" t="e">
        <f>Table14[[#This Row],[MW Proyectada (Barra A)]]+Table14[[#This Row],[MW Proyectada (Barra B)]]</f>
        <v>#N/A</v>
      </c>
    </row>
    <row r="99" spans="2:10" x14ac:dyDescent="0.25">
      <c r="B99" s="91">
        <f>Table110[[#This Row],[Fecha]]</f>
        <v>45587.083333333103</v>
      </c>
      <c r="C99" s="52">
        <f>Table110[[#This Row],[Hora]]</f>
        <v>4.0833333333333277</v>
      </c>
      <c r="D99" s="92">
        <f>Table14[[#This Row],[Fecha]]</f>
        <v>45587.083333333103</v>
      </c>
      <c r="E99" s="53" t="e">
        <f>Table110[[#This Row],[Viento m/s]]</f>
        <v>#N/A</v>
      </c>
      <c r="F99" s="96" t="e">
        <f>VLOOKUP(Table14[[#This Row],[FECHA /HORA]],TBL_CalcDarwin[],46,0)</f>
        <v>#N/A</v>
      </c>
      <c r="G99" s="53" t="e">
        <f>VLOOKUP(Table14[[#This Row],[FECHA /HORA]],TBL_CalcDarwin[],47,0)</f>
        <v>#N/A</v>
      </c>
      <c r="H99" s="95" t="e">
        <f>VLOOKUP(Table14[[#This Row],[FECHA /HORA]],TBL_CalcDarwin[],44,0)</f>
        <v>#N/A</v>
      </c>
      <c r="I99" s="95" t="e">
        <f>VLOOKUP(Table14[[#This Row],[FECHA /HORA]],TBL_CalcDarwin[],45,0)</f>
        <v>#N/A</v>
      </c>
      <c r="J99" s="53" t="e">
        <f>Table14[[#This Row],[MW Proyectada (Barra A)]]+Table14[[#This Row],[MW Proyectada (Barra B)]]</f>
        <v>#N/A</v>
      </c>
    </row>
    <row r="100" spans="2:10" x14ac:dyDescent="0.25">
      <c r="B100" s="91">
        <f>Table110[[#This Row],[Fecha]]</f>
        <v>45587.124999999767</v>
      </c>
      <c r="C100" s="52">
        <f>Table110[[#This Row],[Hora]]</f>
        <v>4.1249999999999947</v>
      </c>
      <c r="D100" s="92">
        <f>Table14[[#This Row],[Fecha]]</f>
        <v>45587.124999999767</v>
      </c>
      <c r="E100" s="53" t="e">
        <f>Table110[[#This Row],[Viento m/s]]</f>
        <v>#N/A</v>
      </c>
      <c r="F100" s="96" t="e">
        <f>VLOOKUP(Table14[[#This Row],[FECHA /HORA]],TBL_CalcDarwin[],46,0)</f>
        <v>#N/A</v>
      </c>
      <c r="G100" s="53" t="e">
        <f>VLOOKUP(Table14[[#This Row],[FECHA /HORA]],TBL_CalcDarwin[],47,0)</f>
        <v>#N/A</v>
      </c>
      <c r="H100" s="95" t="e">
        <f>VLOOKUP(Table14[[#This Row],[FECHA /HORA]],TBL_CalcDarwin[],44,0)</f>
        <v>#N/A</v>
      </c>
      <c r="I100" s="95" t="e">
        <f>VLOOKUP(Table14[[#This Row],[FECHA /HORA]],TBL_CalcDarwin[],45,0)</f>
        <v>#N/A</v>
      </c>
      <c r="J100" s="53" t="e">
        <f>Table14[[#This Row],[MW Proyectada (Barra A)]]+Table14[[#This Row],[MW Proyectada (Barra B)]]</f>
        <v>#N/A</v>
      </c>
    </row>
    <row r="101" spans="2:10" x14ac:dyDescent="0.25">
      <c r="B101" s="91">
        <f>Table110[[#This Row],[Fecha]]</f>
        <v>45587.166666666431</v>
      </c>
      <c r="C101" s="52">
        <f>Table110[[#This Row],[Hora]]</f>
        <v>4.1666666666666616</v>
      </c>
      <c r="D101" s="92">
        <f>Table14[[#This Row],[Fecha]]</f>
        <v>45587.166666666431</v>
      </c>
      <c r="E101" s="53" t="e">
        <f>Table110[[#This Row],[Viento m/s]]</f>
        <v>#N/A</v>
      </c>
      <c r="F101" s="96" t="e">
        <f>VLOOKUP(Table14[[#This Row],[FECHA /HORA]],TBL_CalcDarwin[],46,0)</f>
        <v>#N/A</v>
      </c>
      <c r="G101" s="53" t="e">
        <f>VLOOKUP(Table14[[#This Row],[FECHA /HORA]],TBL_CalcDarwin[],47,0)</f>
        <v>#N/A</v>
      </c>
      <c r="H101" s="95" t="e">
        <f>VLOOKUP(Table14[[#This Row],[FECHA /HORA]],TBL_CalcDarwin[],44,0)</f>
        <v>#N/A</v>
      </c>
      <c r="I101" s="95" t="e">
        <f>VLOOKUP(Table14[[#This Row],[FECHA /HORA]],TBL_CalcDarwin[],45,0)</f>
        <v>#N/A</v>
      </c>
      <c r="J101" s="53" t="e">
        <f>Table14[[#This Row],[MW Proyectada (Barra A)]]+Table14[[#This Row],[MW Proyectada (Barra B)]]</f>
        <v>#N/A</v>
      </c>
    </row>
    <row r="102" spans="2:10" x14ac:dyDescent="0.25">
      <c r="B102" s="91">
        <f>Table110[[#This Row],[Fecha]]</f>
        <v>45587.208333333096</v>
      </c>
      <c r="C102" s="52">
        <f>Table110[[#This Row],[Hora]]</f>
        <v>4.2083333333333286</v>
      </c>
      <c r="D102" s="92">
        <f>Table14[[#This Row],[Fecha]]</f>
        <v>45587.208333333096</v>
      </c>
      <c r="E102" s="53" t="e">
        <f>Table110[[#This Row],[Viento m/s]]</f>
        <v>#N/A</v>
      </c>
      <c r="F102" s="96" t="e">
        <f>VLOOKUP(Table14[[#This Row],[FECHA /HORA]],TBL_CalcDarwin[],46,0)</f>
        <v>#N/A</v>
      </c>
      <c r="G102" s="53" t="e">
        <f>VLOOKUP(Table14[[#This Row],[FECHA /HORA]],TBL_CalcDarwin[],47,0)</f>
        <v>#N/A</v>
      </c>
      <c r="H102" s="95" t="e">
        <f>VLOOKUP(Table14[[#This Row],[FECHA /HORA]],TBL_CalcDarwin[],44,0)</f>
        <v>#N/A</v>
      </c>
      <c r="I102" s="95" t="e">
        <f>VLOOKUP(Table14[[#This Row],[FECHA /HORA]],TBL_CalcDarwin[],45,0)</f>
        <v>#N/A</v>
      </c>
      <c r="J102" s="53" t="e">
        <f>Table14[[#This Row],[MW Proyectada (Barra A)]]+Table14[[#This Row],[MW Proyectada (Barra B)]]</f>
        <v>#N/A</v>
      </c>
    </row>
    <row r="103" spans="2:10" x14ac:dyDescent="0.25">
      <c r="B103" s="91">
        <f>Table110[[#This Row],[Fecha]]</f>
        <v>45587.24999999976</v>
      </c>
      <c r="C103" s="52">
        <f>Table110[[#This Row],[Hora]]</f>
        <v>4.2499999999999956</v>
      </c>
      <c r="D103" s="92">
        <f>Table14[[#This Row],[Fecha]]</f>
        <v>45587.24999999976</v>
      </c>
      <c r="E103" s="53" t="e">
        <f>Table110[[#This Row],[Viento m/s]]</f>
        <v>#N/A</v>
      </c>
      <c r="F103" s="96" t="e">
        <f>VLOOKUP(Table14[[#This Row],[FECHA /HORA]],TBL_CalcDarwin[],46,0)</f>
        <v>#N/A</v>
      </c>
      <c r="G103" s="53" t="e">
        <f>VLOOKUP(Table14[[#This Row],[FECHA /HORA]],TBL_CalcDarwin[],47,0)</f>
        <v>#N/A</v>
      </c>
      <c r="H103" s="95" t="e">
        <f>VLOOKUP(Table14[[#This Row],[FECHA /HORA]],TBL_CalcDarwin[],44,0)</f>
        <v>#N/A</v>
      </c>
      <c r="I103" s="95" t="e">
        <f>VLOOKUP(Table14[[#This Row],[FECHA /HORA]],TBL_CalcDarwin[],45,0)</f>
        <v>#N/A</v>
      </c>
      <c r="J103" s="53" t="e">
        <f>Table14[[#This Row],[MW Proyectada (Barra A)]]+Table14[[#This Row],[MW Proyectada (Barra B)]]</f>
        <v>#N/A</v>
      </c>
    </row>
    <row r="104" spans="2:10" x14ac:dyDescent="0.25">
      <c r="B104" s="91">
        <f>Table110[[#This Row],[Fecha]]</f>
        <v>45587.291666666424</v>
      </c>
      <c r="C104" s="52">
        <f>Table110[[#This Row],[Hora]]</f>
        <v>4.2916666666666625</v>
      </c>
      <c r="D104" s="92">
        <f>Table14[[#This Row],[Fecha]]</f>
        <v>45587.291666666424</v>
      </c>
      <c r="E104" s="53" t="e">
        <f>Table110[[#This Row],[Viento m/s]]</f>
        <v>#N/A</v>
      </c>
      <c r="F104" s="96" t="e">
        <f>VLOOKUP(Table14[[#This Row],[FECHA /HORA]],TBL_CalcDarwin[],46,0)</f>
        <v>#N/A</v>
      </c>
      <c r="G104" s="53" t="e">
        <f>VLOOKUP(Table14[[#This Row],[FECHA /HORA]],TBL_CalcDarwin[],47,0)</f>
        <v>#N/A</v>
      </c>
      <c r="H104" s="95" t="e">
        <f>VLOOKUP(Table14[[#This Row],[FECHA /HORA]],TBL_CalcDarwin[],44,0)</f>
        <v>#N/A</v>
      </c>
      <c r="I104" s="95" t="e">
        <f>VLOOKUP(Table14[[#This Row],[FECHA /HORA]],TBL_CalcDarwin[],45,0)</f>
        <v>#N/A</v>
      </c>
      <c r="J104" s="53" t="e">
        <f>Table14[[#This Row],[MW Proyectada (Barra A)]]+Table14[[#This Row],[MW Proyectada (Barra B)]]</f>
        <v>#N/A</v>
      </c>
    </row>
    <row r="105" spans="2:10" x14ac:dyDescent="0.25">
      <c r="B105" s="91">
        <f>Table110[[#This Row],[Fecha]]</f>
        <v>45587.333333333088</v>
      </c>
      <c r="C105" s="52">
        <f>Table110[[#This Row],[Hora]]</f>
        <v>4.3333333333333295</v>
      </c>
      <c r="D105" s="92">
        <f>Table14[[#This Row],[Fecha]]</f>
        <v>45587.333333333088</v>
      </c>
      <c r="E105" s="53" t="e">
        <f>Table110[[#This Row],[Viento m/s]]</f>
        <v>#N/A</v>
      </c>
      <c r="F105" s="96" t="e">
        <f>VLOOKUP(Table14[[#This Row],[FECHA /HORA]],TBL_CalcDarwin[],46,0)</f>
        <v>#N/A</v>
      </c>
      <c r="G105" s="53" t="e">
        <f>VLOOKUP(Table14[[#This Row],[FECHA /HORA]],TBL_CalcDarwin[],47,0)</f>
        <v>#N/A</v>
      </c>
      <c r="H105" s="95" t="e">
        <f>VLOOKUP(Table14[[#This Row],[FECHA /HORA]],TBL_CalcDarwin[],44,0)</f>
        <v>#N/A</v>
      </c>
      <c r="I105" s="95" t="e">
        <f>VLOOKUP(Table14[[#This Row],[FECHA /HORA]],TBL_CalcDarwin[],45,0)</f>
        <v>#N/A</v>
      </c>
      <c r="J105" s="53" t="e">
        <f>Table14[[#This Row],[MW Proyectada (Barra A)]]+Table14[[#This Row],[MW Proyectada (Barra B)]]</f>
        <v>#N/A</v>
      </c>
    </row>
    <row r="106" spans="2:10" x14ac:dyDescent="0.25">
      <c r="B106" s="91">
        <f>Table110[[#This Row],[Fecha]]</f>
        <v>45587.374999999753</v>
      </c>
      <c r="C106" s="52">
        <f>Table110[[#This Row],[Hora]]</f>
        <v>4.3749999999999964</v>
      </c>
      <c r="D106" s="92">
        <f>Table14[[#This Row],[Fecha]]</f>
        <v>45587.374999999753</v>
      </c>
      <c r="E106" s="53" t="e">
        <f>Table110[[#This Row],[Viento m/s]]</f>
        <v>#N/A</v>
      </c>
      <c r="F106" s="96" t="e">
        <f>VLOOKUP(Table14[[#This Row],[FECHA /HORA]],TBL_CalcDarwin[],46,0)</f>
        <v>#N/A</v>
      </c>
      <c r="G106" s="53" t="e">
        <f>VLOOKUP(Table14[[#This Row],[FECHA /HORA]],TBL_CalcDarwin[],47,0)</f>
        <v>#N/A</v>
      </c>
      <c r="H106" s="95" t="e">
        <f>VLOOKUP(Table14[[#This Row],[FECHA /HORA]],TBL_CalcDarwin[],44,0)</f>
        <v>#N/A</v>
      </c>
      <c r="I106" s="95" t="e">
        <f>VLOOKUP(Table14[[#This Row],[FECHA /HORA]],TBL_CalcDarwin[],45,0)</f>
        <v>#N/A</v>
      </c>
      <c r="J106" s="53" t="e">
        <f>Table14[[#This Row],[MW Proyectada (Barra A)]]+Table14[[#This Row],[MW Proyectada (Barra B)]]</f>
        <v>#N/A</v>
      </c>
    </row>
    <row r="107" spans="2:10" x14ac:dyDescent="0.25">
      <c r="B107" s="91">
        <f>Table110[[#This Row],[Fecha]]</f>
        <v>45587.416666666417</v>
      </c>
      <c r="C107" s="52">
        <f>Table110[[#This Row],[Hora]]</f>
        <v>4.4166666666666634</v>
      </c>
      <c r="D107" s="92">
        <f>Table14[[#This Row],[Fecha]]</f>
        <v>45587.416666666417</v>
      </c>
      <c r="E107" s="53" t="e">
        <f>Table110[[#This Row],[Viento m/s]]</f>
        <v>#N/A</v>
      </c>
      <c r="F107" s="96" t="e">
        <f>VLOOKUP(Table14[[#This Row],[FECHA /HORA]],TBL_CalcDarwin[],46,0)</f>
        <v>#N/A</v>
      </c>
      <c r="G107" s="53" t="e">
        <f>VLOOKUP(Table14[[#This Row],[FECHA /HORA]],TBL_CalcDarwin[],47,0)</f>
        <v>#N/A</v>
      </c>
      <c r="H107" s="95" t="e">
        <f>VLOOKUP(Table14[[#This Row],[FECHA /HORA]],TBL_CalcDarwin[],44,0)</f>
        <v>#N/A</v>
      </c>
      <c r="I107" s="95" t="e">
        <f>VLOOKUP(Table14[[#This Row],[FECHA /HORA]],TBL_CalcDarwin[],45,0)</f>
        <v>#N/A</v>
      </c>
      <c r="J107" s="53" t="e">
        <f>Table14[[#This Row],[MW Proyectada (Barra A)]]+Table14[[#This Row],[MW Proyectada (Barra B)]]</f>
        <v>#N/A</v>
      </c>
    </row>
    <row r="108" spans="2:10" x14ac:dyDescent="0.25">
      <c r="B108" s="91">
        <f>Table110[[#This Row],[Fecha]]</f>
        <v>45587.458333333081</v>
      </c>
      <c r="C108" s="52">
        <f>Table110[[#This Row],[Hora]]</f>
        <v>4.4583333333333304</v>
      </c>
      <c r="D108" s="92">
        <f>Table14[[#This Row],[Fecha]]</f>
        <v>45587.458333333081</v>
      </c>
      <c r="E108" s="53" t="e">
        <f>Table110[[#This Row],[Viento m/s]]</f>
        <v>#N/A</v>
      </c>
      <c r="F108" s="96" t="e">
        <f>VLOOKUP(Table14[[#This Row],[FECHA /HORA]],TBL_CalcDarwin[],46,0)</f>
        <v>#N/A</v>
      </c>
      <c r="G108" s="53" t="e">
        <f>VLOOKUP(Table14[[#This Row],[FECHA /HORA]],TBL_CalcDarwin[],47,0)</f>
        <v>#N/A</v>
      </c>
      <c r="H108" s="95" t="e">
        <f>VLOOKUP(Table14[[#This Row],[FECHA /HORA]],TBL_CalcDarwin[],44,0)</f>
        <v>#N/A</v>
      </c>
      <c r="I108" s="95" t="e">
        <f>VLOOKUP(Table14[[#This Row],[FECHA /HORA]],TBL_CalcDarwin[],45,0)</f>
        <v>#N/A</v>
      </c>
      <c r="J108" s="53" t="e">
        <f>Table14[[#This Row],[MW Proyectada (Barra A)]]+Table14[[#This Row],[MW Proyectada (Barra B)]]</f>
        <v>#N/A</v>
      </c>
    </row>
    <row r="109" spans="2:10" x14ac:dyDescent="0.25">
      <c r="B109" s="91">
        <f>Table110[[#This Row],[Fecha]]</f>
        <v>45587.499999999745</v>
      </c>
      <c r="C109" s="52">
        <f>Table110[[#This Row],[Hora]]</f>
        <v>4.4999999999999973</v>
      </c>
      <c r="D109" s="92">
        <f>Table14[[#This Row],[Fecha]]</f>
        <v>45587.499999999745</v>
      </c>
      <c r="E109" s="53" t="e">
        <f>Table110[[#This Row],[Viento m/s]]</f>
        <v>#N/A</v>
      </c>
      <c r="F109" s="96" t="e">
        <f>VLOOKUP(Table14[[#This Row],[FECHA /HORA]],TBL_CalcDarwin[],46,0)</f>
        <v>#N/A</v>
      </c>
      <c r="G109" s="53" t="e">
        <f>VLOOKUP(Table14[[#This Row],[FECHA /HORA]],TBL_CalcDarwin[],47,0)</f>
        <v>#N/A</v>
      </c>
      <c r="H109" s="95" t="e">
        <f>VLOOKUP(Table14[[#This Row],[FECHA /HORA]],TBL_CalcDarwin[],44,0)</f>
        <v>#N/A</v>
      </c>
      <c r="I109" s="95" t="e">
        <f>VLOOKUP(Table14[[#This Row],[FECHA /HORA]],TBL_CalcDarwin[],45,0)</f>
        <v>#N/A</v>
      </c>
      <c r="J109" s="53" t="e">
        <f>Table14[[#This Row],[MW Proyectada (Barra A)]]+Table14[[#This Row],[MW Proyectada (Barra B)]]</f>
        <v>#N/A</v>
      </c>
    </row>
    <row r="110" spans="2:10" x14ac:dyDescent="0.25">
      <c r="B110" s="91">
        <f>Table110[[#This Row],[Fecha]]</f>
        <v>45587.54166666641</v>
      </c>
      <c r="C110" s="52">
        <f>Table110[[#This Row],[Hora]]</f>
        <v>4.5416666666666643</v>
      </c>
      <c r="D110" s="92">
        <f>Table14[[#This Row],[Fecha]]</f>
        <v>45587.54166666641</v>
      </c>
      <c r="E110" s="53" t="e">
        <f>Table110[[#This Row],[Viento m/s]]</f>
        <v>#N/A</v>
      </c>
      <c r="F110" s="96" t="e">
        <f>VLOOKUP(Table14[[#This Row],[FECHA /HORA]],TBL_CalcDarwin[],46,0)</f>
        <v>#N/A</v>
      </c>
      <c r="G110" s="53" t="e">
        <f>VLOOKUP(Table14[[#This Row],[FECHA /HORA]],TBL_CalcDarwin[],47,0)</f>
        <v>#N/A</v>
      </c>
      <c r="H110" s="95" t="e">
        <f>VLOOKUP(Table14[[#This Row],[FECHA /HORA]],TBL_CalcDarwin[],44,0)</f>
        <v>#N/A</v>
      </c>
      <c r="I110" s="95" t="e">
        <f>VLOOKUP(Table14[[#This Row],[FECHA /HORA]],TBL_CalcDarwin[],45,0)</f>
        <v>#N/A</v>
      </c>
      <c r="J110" s="53" t="e">
        <f>Table14[[#This Row],[MW Proyectada (Barra A)]]+Table14[[#This Row],[MW Proyectada (Barra B)]]</f>
        <v>#N/A</v>
      </c>
    </row>
    <row r="111" spans="2:10" x14ac:dyDescent="0.25">
      <c r="B111" s="91">
        <f>Table110[[#This Row],[Fecha]]</f>
        <v>45587.583333333074</v>
      </c>
      <c r="C111" s="52">
        <f>Table110[[#This Row],[Hora]]</f>
        <v>4.5833333333333313</v>
      </c>
      <c r="D111" s="92">
        <f>Table14[[#This Row],[Fecha]]</f>
        <v>45587.583333333074</v>
      </c>
      <c r="E111" s="53" t="e">
        <f>Table110[[#This Row],[Viento m/s]]</f>
        <v>#N/A</v>
      </c>
      <c r="F111" s="96" t="e">
        <f>VLOOKUP(Table14[[#This Row],[FECHA /HORA]],TBL_CalcDarwin[],46,0)</f>
        <v>#N/A</v>
      </c>
      <c r="G111" s="53" t="e">
        <f>VLOOKUP(Table14[[#This Row],[FECHA /HORA]],TBL_CalcDarwin[],47,0)</f>
        <v>#N/A</v>
      </c>
      <c r="H111" s="95" t="e">
        <f>VLOOKUP(Table14[[#This Row],[FECHA /HORA]],TBL_CalcDarwin[],44,0)</f>
        <v>#N/A</v>
      </c>
      <c r="I111" s="95" t="e">
        <f>VLOOKUP(Table14[[#This Row],[FECHA /HORA]],TBL_CalcDarwin[],45,0)</f>
        <v>#N/A</v>
      </c>
      <c r="J111" s="53" t="e">
        <f>Table14[[#This Row],[MW Proyectada (Barra A)]]+Table14[[#This Row],[MW Proyectada (Barra B)]]</f>
        <v>#N/A</v>
      </c>
    </row>
    <row r="112" spans="2:10" x14ac:dyDescent="0.25">
      <c r="B112" s="91">
        <f>Table110[[#This Row],[Fecha]]</f>
        <v>45587.624999999738</v>
      </c>
      <c r="C112" s="52">
        <f>Table110[[#This Row],[Hora]]</f>
        <v>4.6249999999999982</v>
      </c>
      <c r="D112" s="92">
        <f>Table14[[#This Row],[Fecha]]</f>
        <v>45587.624999999738</v>
      </c>
      <c r="E112" s="53" t="e">
        <f>Table110[[#This Row],[Viento m/s]]</f>
        <v>#N/A</v>
      </c>
      <c r="F112" s="96" t="e">
        <f>VLOOKUP(Table14[[#This Row],[FECHA /HORA]],TBL_CalcDarwin[],46,0)</f>
        <v>#N/A</v>
      </c>
      <c r="G112" s="53" t="e">
        <f>VLOOKUP(Table14[[#This Row],[FECHA /HORA]],TBL_CalcDarwin[],47,0)</f>
        <v>#N/A</v>
      </c>
      <c r="H112" s="95" t="e">
        <f>VLOOKUP(Table14[[#This Row],[FECHA /HORA]],TBL_CalcDarwin[],44,0)</f>
        <v>#N/A</v>
      </c>
      <c r="I112" s="95" t="e">
        <f>VLOOKUP(Table14[[#This Row],[FECHA /HORA]],TBL_CalcDarwin[],45,0)</f>
        <v>#N/A</v>
      </c>
      <c r="J112" s="53" t="e">
        <f>Table14[[#This Row],[MW Proyectada (Barra A)]]+Table14[[#This Row],[MW Proyectada (Barra B)]]</f>
        <v>#N/A</v>
      </c>
    </row>
    <row r="113" spans="2:10" x14ac:dyDescent="0.25">
      <c r="B113" s="91">
        <f>Table110[[#This Row],[Fecha]]</f>
        <v>45587.666666666402</v>
      </c>
      <c r="C113" s="52">
        <f>Table110[[#This Row],[Hora]]</f>
        <v>4.6666666666666652</v>
      </c>
      <c r="D113" s="92">
        <f>Table14[[#This Row],[Fecha]]</f>
        <v>45587.666666666402</v>
      </c>
      <c r="E113" s="53" t="e">
        <f>Table110[[#This Row],[Viento m/s]]</f>
        <v>#N/A</v>
      </c>
      <c r="F113" s="96" t="e">
        <f>VLOOKUP(Table14[[#This Row],[FECHA /HORA]],TBL_CalcDarwin[],46,0)</f>
        <v>#N/A</v>
      </c>
      <c r="G113" s="53" t="e">
        <f>VLOOKUP(Table14[[#This Row],[FECHA /HORA]],TBL_CalcDarwin[],47,0)</f>
        <v>#N/A</v>
      </c>
      <c r="H113" s="95" t="e">
        <f>VLOOKUP(Table14[[#This Row],[FECHA /HORA]],TBL_CalcDarwin[],44,0)</f>
        <v>#N/A</v>
      </c>
      <c r="I113" s="95" t="e">
        <f>VLOOKUP(Table14[[#This Row],[FECHA /HORA]],TBL_CalcDarwin[],45,0)</f>
        <v>#N/A</v>
      </c>
      <c r="J113" s="53" t="e">
        <f>Table14[[#This Row],[MW Proyectada (Barra A)]]+Table14[[#This Row],[MW Proyectada (Barra B)]]</f>
        <v>#N/A</v>
      </c>
    </row>
    <row r="114" spans="2:10" x14ac:dyDescent="0.25">
      <c r="B114" s="91">
        <f>Table110[[#This Row],[Fecha]]</f>
        <v>45587.708333333067</v>
      </c>
      <c r="C114" s="52">
        <f>Table110[[#This Row],[Hora]]</f>
        <v>4.7083333333333321</v>
      </c>
      <c r="D114" s="92">
        <f>Table14[[#This Row],[Fecha]]</f>
        <v>45587.708333333067</v>
      </c>
      <c r="E114" s="53" t="e">
        <f>Table110[[#This Row],[Viento m/s]]</f>
        <v>#N/A</v>
      </c>
      <c r="F114" s="96" t="e">
        <f>VLOOKUP(Table14[[#This Row],[FECHA /HORA]],TBL_CalcDarwin[],46,0)</f>
        <v>#N/A</v>
      </c>
      <c r="G114" s="53" t="e">
        <f>VLOOKUP(Table14[[#This Row],[FECHA /HORA]],TBL_CalcDarwin[],47,0)</f>
        <v>#N/A</v>
      </c>
      <c r="H114" s="95" t="e">
        <f>VLOOKUP(Table14[[#This Row],[FECHA /HORA]],TBL_CalcDarwin[],44,0)</f>
        <v>#N/A</v>
      </c>
      <c r="I114" s="95" t="e">
        <f>VLOOKUP(Table14[[#This Row],[FECHA /HORA]],TBL_CalcDarwin[],45,0)</f>
        <v>#N/A</v>
      </c>
      <c r="J114" s="53" t="e">
        <f>Table14[[#This Row],[MW Proyectada (Barra A)]]+Table14[[#This Row],[MW Proyectada (Barra B)]]</f>
        <v>#N/A</v>
      </c>
    </row>
    <row r="115" spans="2:10" x14ac:dyDescent="0.25">
      <c r="B115" s="91">
        <f>Table110[[#This Row],[Fecha]]</f>
        <v>45587.749999999731</v>
      </c>
      <c r="C115" s="52">
        <f>Table110[[#This Row],[Hora]]</f>
        <v>4.7499999999999991</v>
      </c>
      <c r="D115" s="92">
        <f>Table14[[#This Row],[Fecha]]</f>
        <v>45587.749999999731</v>
      </c>
      <c r="E115" s="53" t="e">
        <f>Table110[[#This Row],[Viento m/s]]</f>
        <v>#N/A</v>
      </c>
      <c r="F115" s="96" t="e">
        <f>VLOOKUP(Table14[[#This Row],[FECHA /HORA]],TBL_CalcDarwin[],46,0)</f>
        <v>#N/A</v>
      </c>
      <c r="G115" s="53" t="e">
        <f>VLOOKUP(Table14[[#This Row],[FECHA /HORA]],TBL_CalcDarwin[],47,0)</f>
        <v>#N/A</v>
      </c>
      <c r="H115" s="95" t="e">
        <f>VLOOKUP(Table14[[#This Row],[FECHA /HORA]],TBL_CalcDarwin[],44,0)</f>
        <v>#N/A</v>
      </c>
      <c r="I115" s="95" t="e">
        <f>VLOOKUP(Table14[[#This Row],[FECHA /HORA]],TBL_CalcDarwin[],45,0)</f>
        <v>#N/A</v>
      </c>
      <c r="J115" s="53" t="e">
        <f>Table14[[#This Row],[MW Proyectada (Barra A)]]+Table14[[#This Row],[MW Proyectada (Barra B)]]</f>
        <v>#N/A</v>
      </c>
    </row>
    <row r="116" spans="2:10" x14ac:dyDescent="0.25">
      <c r="B116" s="91">
        <f>Table110[[#This Row],[Fecha]]</f>
        <v>45587.791666666395</v>
      </c>
      <c r="C116" s="52">
        <f>Table110[[#This Row],[Hora]]</f>
        <v>4.7916666666666661</v>
      </c>
      <c r="D116" s="92">
        <f>Table14[[#This Row],[Fecha]]</f>
        <v>45587.791666666395</v>
      </c>
      <c r="E116" s="53" t="e">
        <f>Table110[[#This Row],[Viento m/s]]</f>
        <v>#N/A</v>
      </c>
      <c r="F116" s="96" t="e">
        <f>VLOOKUP(Table14[[#This Row],[FECHA /HORA]],TBL_CalcDarwin[],46,0)</f>
        <v>#N/A</v>
      </c>
      <c r="G116" s="53" t="e">
        <f>VLOOKUP(Table14[[#This Row],[FECHA /HORA]],TBL_CalcDarwin[],47,0)</f>
        <v>#N/A</v>
      </c>
      <c r="H116" s="95" t="e">
        <f>VLOOKUP(Table14[[#This Row],[FECHA /HORA]],TBL_CalcDarwin[],44,0)</f>
        <v>#N/A</v>
      </c>
      <c r="I116" s="95" t="e">
        <f>VLOOKUP(Table14[[#This Row],[FECHA /HORA]],TBL_CalcDarwin[],45,0)</f>
        <v>#N/A</v>
      </c>
      <c r="J116" s="53" t="e">
        <f>Table14[[#This Row],[MW Proyectada (Barra A)]]+Table14[[#This Row],[MW Proyectada (Barra B)]]</f>
        <v>#N/A</v>
      </c>
    </row>
    <row r="117" spans="2:10" x14ac:dyDescent="0.25">
      <c r="B117" s="91">
        <f>Table110[[#This Row],[Fecha]]</f>
        <v>45587.833333333059</v>
      </c>
      <c r="C117" s="52">
        <f>Table110[[#This Row],[Hora]]</f>
        <v>4.833333333333333</v>
      </c>
      <c r="D117" s="92">
        <f>Table14[[#This Row],[Fecha]]</f>
        <v>45587.833333333059</v>
      </c>
      <c r="E117" s="53" t="e">
        <f>Table110[[#This Row],[Viento m/s]]</f>
        <v>#N/A</v>
      </c>
      <c r="F117" s="96" t="e">
        <f>VLOOKUP(Table14[[#This Row],[FECHA /HORA]],TBL_CalcDarwin[],46,0)</f>
        <v>#N/A</v>
      </c>
      <c r="G117" s="53" t="e">
        <f>VLOOKUP(Table14[[#This Row],[FECHA /HORA]],TBL_CalcDarwin[],47,0)</f>
        <v>#N/A</v>
      </c>
      <c r="H117" s="95" t="e">
        <f>VLOOKUP(Table14[[#This Row],[FECHA /HORA]],TBL_CalcDarwin[],44,0)</f>
        <v>#N/A</v>
      </c>
      <c r="I117" s="95" t="e">
        <f>VLOOKUP(Table14[[#This Row],[FECHA /HORA]],TBL_CalcDarwin[],45,0)</f>
        <v>#N/A</v>
      </c>
      <c r="J117" s="53" t="e">
        <f>Table14[[#This Row],[MW Proyectada (Barra A)]]+Table14[[#This Row],[MW Proyectada (Barra B)]]</f>
        <v>#N/A</v>
      </c>
    </row>
    <row r="118" spans="2:10" x14ac:dyDescent="0.25">
      <c r="B118" s="91">
        <f>Table110[[#This Row],[Fecha]]</f>
        <v>45587.874999999724</v>
      </c>
      <c r="C118" s="52">
        <f>Table110[[#This Row],[Hora]]</f>
        <v>4.875</v>
      </c>
      <c r="D118" s="92">
        <f>Table14[[#This Row],[Fecha]]</f>
        <v>45587.874999999724</v>
      </c>
      <c r="E118" s="53" t="e">
        <f>Table110[[#This Row],[Viento m/s]]</f>
        <v>#N/A</v>
      </c>
      <c r="F118" s="96" t="e">
        <f>VLOOKUP(Table14[[#This Row],[FECHA /HORA]],TBL_CalcDarwin[],46,0)</f>
        <v>#N/A</v>
      </c>
      <c r="G118" s="53" t="e">
        <f>VLOOKUP(Table14[[#This Row],[FECHA /HORA]],TBL_CalcDarwin[],47,0)</f>
        <v>#N/A</v>
      </c>
      <c r="H118" s="95" t="e">
        <f>VLOOKUP(Table14[[#This Row],[FECHA /HORA]],TBL_CalcDarwin[],44,0)</f>
        <v>#N/A</v>
      </c>
      <c r="I118" s="95" t="e">
        <f>VLOOKUP(Table14[[#This Row],[FECHA /HORA]],TBL_CalcDarwin[],45,0)</f>
        <v>#N/A</v>
      </c>
      <c r="J118" s="53" t="e">
        <f>Table14[[#This Row],[MW Proyectada (Barra A)]]+Table14[[#This Row],[MW Proyectada (Barra B)]]</f>
        <v>#N/A</v>
      </c>
    </row>
    <row r="119" spans="2:10" x14ac:dyDescent="0.25">
      <c r="B119" s="91">
        <f>Table110[[#This Row],[Fecha]]</f>
        <v>45587.916666666388</v>
      </c>
      <c r="C119" s="52">
        <f>Table110[[#This Row],[Hora]]</f>
        <v>4.916666666666667</v>
      </c>
      <c r="D119" s="92">
        <f>Table14[[#This Row],[Fecha]]</f>
        <v>45587.916666666388</v>
      </c>
      <c r="E119" s="53" t="e">
        <f>Table110[[#This Row],[Viento m/s]]</f>
        <v>#N/A</v>
      </c>
      <c r="F119" s="96" t="e">
        <f>VLOOKUP(Table14[[#This Row],[FECHA /HORA]],TBL_CalcDarwin[],46,0)</f>
        <v>#N/A</v>
      </c>
      <c r="G119" s="53" t="e">
        <f>VLOOKUP(Table14[[#This Row],[FECHA /HORA]],TBL_CalcDarwin[],47,0)</f>
        <v>#N/A</v>
      </c>
      <c r="H119" s="95" t="e">
        <f>VLOOKUP(Table14[[#This Row],[FECHA /HORA]],TBL_CalcDarwin[],44,0)</f>
        <v>#N/A</v>
      </c>
      <c r="I119" s="95" t="e">
        <f>VLOOKUP(Table14[[#This Row],[FECHA /HORA]],TBL_CalcDarwin[],45,0)</f>
        <v>#N/A</v>
      </c>
      <c r="J119" s="53" t="e">
        <f>Table14[[#This Row],[MW Proyectada (Barra A)]]+Table14[[#This Row],[MW Proyectada (Barra B)]]</f>
        <v>#N/A</v>
      </c>
    </row>
    <row r="120" spans="2:10" x14ac:dyDescent="0.25">
      <c r="B120" s="91">
        <f>Table110[[#This Row],[Fecha]]</f>
        <v>45587.958333333052</v>
      </c>
      <c r="C120" s="52">
        <f>Table110[[#This Row],[Hora]]</f>
        <v>4.9583333333333339</v>
      </c>
      <c r="D120" s="92">
        <f>Table14[[#This Row],[Fecha]]</f>
        <v>45587.958333333052</v>
      </c>
      <c r="E120" s="53" t="e">
        <f>Table110[[#This Row],[Viento m/s]]</f>
        <v>#N/A</v>
      </c>
      <c r="F120" s="96" t="e">
        <f>VLOOKUP(Table14[[#This Row],[FECHA /HORA]],TBL_CalcDarwin[],46,0)</f>
        <v>#N/A</v>
      </c>
      <c r="G120" s="53" t="e">
        <f>VLOOKUP(Table14[[#This Row],[FECHA /HORA]],TBL_CalcDarwin[],47,0)</f>
        <v>#N/A</v>
      </c>
      <c r="H120" s="95" t="e">
        <f>VLOOKUP(Table14[[#This Row],[FECHA /HORA]],TBL_CalcDarwin[],44,0)</f>
        <v>#N/A</v>
      </c>
      <c r="I120" s="95" t="e">
        <f>VLOOKUP(Table14[[#This Row],[FECHA /HORA]],TBL_CalcDarwin[],45,0)</f>
        <v>#N/A</v>
      </c>
      <c r="J120" s="53" t="e">
        <f>Table14[[#This Row],[MW Proyectada (Barra A)]]+Table14[[#This Row],[MW Proyectada (Barra B)]]</f>
        <v>#N/A</v>
      </c>
    </row>
    <row r="121" spans="2:10" x14ac:dyDescent="0.25">
      <c r="B121" s="91">
        <f>Table110[[#This Row],[Fecha]]</f>
        <v>45587.999999999716</v>
      </c>
      <c r="C121" s="52">
        <f>Table110[[#This Row],[Hora]]</f>
        <v>5.0000000000000009</v>
      </c>
      <c r="D121" s="92">
        <f>Table14[[#This Row],[Fecha]]</f>
        <v>45587.999999999716</v>
      </c>
      <c r="E121" s="53" t="e">
        <f>Table110[[#This Row],[Viento m/s]]</f>
        <v>#N/A</v>
      </c>
      <c r="F121" s="96" t="e">
        <f>VLOOKUP(Table14[[#This Row],[FECHA /HORA]],TBL_CalcDarwin[],46,0)</f>
        <v>#N/A</v>
      </c>
      <c r="G121" s="53" t="e">
        <f>VLOOKUP(Table14[[#This Row],[FECHA /HORA]],TBL_CalcDarwin[],47,0)</f>
        <v>#N/A</v>
      </c>
      <c r="H121" s="95" t="e">
        <f>VLOOKUP(Table14[[#This Row],[FECHA /HORA]],TBL_CalcDarwin[],44,0)</f>
        <v>#N/A</v>
      </c>
      <c r="I121" s="95" t="e">
        <f>VLOOKUP(Table14[[#This Row],[FECHA /HORA]],TBL_CalcDarwin[],45,0)</f>
        <v>#N/A</v>
      </c>
      <c r="J121" s="53" t="e">
        <f>Table14[[#This Row],[MW Proyectada (Barra A)]]+Table14[[#This Row],[MW Proyectada (Barra B)]]</f>
        <v>#N/A</v>
      </c>
    </row>
    <row r="122" spans="2:10" x14ac:dyDescent="0.25">
      <c r="B122" s="91">
        <f>Table110[[#This Row],[Fecha]]</f>
        <v>45588.04166666638</v>
      </c>
      <c r="C122" s="52">
        <f>Table110[[#This Row],[Hora]]</f>
        <v>5.0416666666666679</v>
      </c>
      <c r="D122" s="92">
        <f>Table14[[#This Row],[Fecha]]</f>
        <v>45588.04166666638</v>
      </c>
      <c r="E122" s="53" t="e">
        <f>Table110[[#This Row],[Viento m/s]]</f>
        <v>#N/A</v>
      </c>
      <c r="F122" s="96" t="e">
        <f>VLOOKUP(Table14[[#This Row],[FECHA /HORA]],TBL_CalcDarwin[],46,0)</f>
        <v>#N/A</v>
      </c>
      <c r="G122" s="53" t="e">
        <f>VLOOKUP(Table14[[#This Row],[FECHA /HORA]],TBL_CalcDarwin[],47,0)</f>
        <v>#N/A</v>
      </c>
      <c r="H122" s="95" t="e">
        <f>VLOOKUP(Table14[[#This Row],[FECHA /HORA]],TBL_CalcDarwin[],44,0)</f>
        <v>#N/A</v>
      </c>
      <c r="I122" s="95" t="e">
        <f>VLOOKUP(Table14[[#This Row],[FECHA /HORA]],TBL_CalcDarwin[],45,0)</f>
        <v>#N/A</v>
      </c>
      <c r="J122" s="53" t="e">
        <f>Table14[[#This Row],[MW Proyectada (Barra A)]]+Table14[[#This Row],[MW Proyectada (Barra B)]]</f>
        <v>#N/A</v>
      </c>
    </row>
    <row r="123" spans="2:10" x14ac:dyDescent="0.25">
      <c r="B123" s="91">
        <f>Table110[[#This Row],[Fecha]]</f>
        <v>45588.083333333045</v>
      </c>
      <c r="C123" s="52">
        <f>Table110[[#This Row],[Hora]]</f>
        <v>5.0833333333333348</v>
      </c>
      <c r="D123" s="92">
        <f>Table14[[#This Row],[Fecha]]</f>
        <v>45588.083333333045</v>
      </c>
      <c r="E123" s="53" t="e">
        <f>Table110[[#This Row],[Viento m/s]]</f>
        <v>#N/A</v>
      </c>
      <c r="F123" s="96" t="e">
        <f>VLOOKUP(Table14[[#This Row],[FECHA /HORA]],TBL_CalcDarwin[],46,0)</f>
        <v>#N/A</v>
      </c>
      <c r="G123" s="53" t="e">
        <f>VLOOKUP(Table14[[#This Row],[FECHA /HORA]],TBL_CalcDarwin[],47,0)</f>
        <v>#N/A</v>
      </c>
      <c r="H123" s="95" t="e">
        <f>VLOOKUP(Table14[[#This Row],[FECHA /HORA]],TBL_CalcDarwin[],44,0)</f>
        <v>#N/A</v>
      </c>
      <c r="I123" s="95" t="e">
        <f>VLOOKUP(Table14[[#This Row],[FECHA /HORA]],TBL_CalcDarwin[],45,0)</f>
        <v>#N/A</v>
      </c>
      <c r="J123" s="53" t="e">
        <f>Table14[[#This Row],[MW Proyectada (Barra A)]]+Table14[[#This Row],[MW Proyectada (Barra B)]]</f>
        <v>#N/A</v>
      </c>
    </row>
    <row r="124" spans="2:10" x14ac:dyDescent="0.25">
      <c r="B124" s="91">
        <f>Table110[[#This Row],[Fecha]]</f>
        <v>45588.124999999709</v>
      </c>
      <c r="C124" s="52">
        <f>Table110[[#This Row],[Hora]]</f>
        <v>5.1250000000000018</v>
      </c>
      <c r="D124" s="92">
        <f>Table14[[#This Row],[Fecha]]</f>
        <v>45588.124999999709</v>
      </c>
      <c r="E124" s="53" t="e">
        <f>Table110[[#This Row],[Viento m/s]]</f>
        <v>#N/A</v>
      </c>
      <c r="F124" s="96" t="e">
        <f>VLOOKUP(Table14[[#This Row],[FECHA /HORA]],TBL_CalcDarwin[],46,0)</f>
        <v>#N/A</v>
      </c>
      <c r="G124" s="53" t="e">
        <f>VLOOKUP(Table14[[#This Row],[FECHA /HORA]],TBL_CalcDarwin[],47,0)</f>
        <v>#N/A</v>
      </c>
      <c r="H124" s="95" t="e">
        <f>VLOOKUP(Table14[[#This Row],[FECHA /HORA]],TBL_CalcDarwin[],44,0)</f>
        <v>#N/A</v>
      </c>
      <c r="I124" s="95" t="e">
        <f>VLOOKUP(Table14[[#This Row],[FECHA /HORA]],TBL_CalcDarwin[],45,0)</f>
        <v>#N/A</v>
      </c>
      <c r="J124" s="53" t="e">
        <f>Table14[[#This Row],[MW Proyectada (Barra A)]]+Table14[[#This Row],[MW Proyectada (Barra B)]]</f>
        <v>#N/A</v>
      </c>
    </row>
    <row r="125" spans="2:10" x14ac:dyDescent="0.25">
      <c r="B125" s="91">
        <f>Table110[[#This Row],[Fecha]]</f>
        <v>45588.166666666373</v>
      </c>
      <c r="C125" s="52">
        <f>Table110[[#This Row],[Hora]]</f>
        <v>5.1666666666666687</v>
      </c>
      <c r="D125" s="92">
        <f>Table14[[#This Row],[Fecha]]</f>
        <v>45588.166666666373</v>
      </c>
      <c r="E125" s="53" t="e">
        <f>Table110[[#This Row],[Viento m/s]]</f>
        <v>#N/A</v>
      </c>
      <c r="F125" s="96" t="e">
        <f>VLOOKUP(Table14[[#This Row],[FECHA /HORA]],TBL_CalcDarwin[],46,0)</f>
        <v>#N/A</v>
      </c>
      <c r="G125" s="53" t="e">
        <f>VLOOKUP(Table14[[#This Row],[FECHA /HORA]],TBL_CalcDarwin[],47,0)</f>
        <v>#N/A</v>
      </c>
      <c r="H125" s="95" t="e">
        <f>VLOOKUP(Table14[[#This Row],[FECHA /HORA]],TBL_CalcDarwin[],44,0)</f>
        <v>#N/A</v>
      </c>
      <c r="I125" s="95" t="e">
        <f>VLOOKUP(Table14[[#This Row],[FECHA /HORA]],TBL_CalcDarwin[],45,0)</f>
        <v>#N/A</v>
      </c>
      <c r="J125" s="53" t="e">
        <f>Table14[[#This Row],[MW Proyectada (Barra A)]]+Table14[[#This Row],[MW Proyectada (Barra B)]]</f>
        <v>#N/A</v>
      </c>
    </row>
    <row r="126" spans="2:10" x14ac:dyDescent="0.25">
      <c r="B126" s="91">
        <f>Table110[[#This Row],[Fecha]]</f>
        <v>45588.208333333037</v>
      </c>
      <c r="C126" s="52">
        <f>Table110[[#This Row],[Hora]]</f>
        <v>5.2083333333333357</v>
      </c>
      <c r="D126" s="92">
        <f>Table14[[#This Row],[Fecha]]</f>
        <v>45588.208333333037</v>
      </c>
      <c r="E126" s="53" t="e">
        <f>Table110[[#This Row],[Viento m/s]]</f>
        <v>#N/A</v>
      </c>
      <c r="F126" s="96" t="e">
        <f>VLOOKUP(Table14[[#This Row],[FECHA /HORA]],TBL_CalcDarwin[],46,0)</f>
        <v>#N/A</v>
      </c>
      <c r="G126" s="53" t="e">
        <f>VLOOKUP(Table14[[#This Row],[FECHA /HORA]],TBL_CalcDarwin[],47,0)</f>
        <v>#N/A</v>
      </c>
      <c r="H126" s="95" t="e">
        <f>VLOOKUP(Table14[[#This Row],[FECHA /HORA]],TBL_CalcDarwin[],44,0)</f>
        <v>#N/A</v>
      </c>
      <c r="I126" s="95" t="e">
        <f>VLOOKUP(Table14[[#This Row],[FECHA /HORA]],TBL_CalcDarwin[],45,0)</f>
        <v>#N/A</v>
      </c>
      <c r="J126" s="53" t="e">
        <f>Table14[[#This Row],[MW Proyectada (Barra A)]]+Table14[[#This Row],[MW Proyectada (Barra B)]]</f>
        <v>#N/A</v>
      </c>
    </row>
    <row r="127" spans="2:10" x14ac:dyDescent="0.25">
      <c r="B127" s="91">
        <f>Table110[[#This Row],[Fecha]]</f>
        <v>45588.249999999702</v>
      </c>
      <c r="C127" s="52">
        <f>Table110[[#This Row],[Hora]]</f>
        <v>5.2500000000000027</v>
      </c>
      <c r="D127" s="92">
        <f>Table14[[#This Row],[Fecha]]</f>
        <v>45588.249999999702</v>
      </c>
      <c r="E127" s="53" t="e">
        <f>Table110[[#This Row],[Viento m/s]]</f>
        <v>#N/A</v>
      </c>
      <c r="F127" s="96" t="e">
        <f>VLOOKUP(Table14[[#This Row],[FECHA /HORA]],TBL_CalcDarwin[],46,0)</f>
        <v>#N/A</v>
      </c>
      <c r="G127" s="53" t="e">
        <f>VLOOKUP(Table14[[#This Row],[FECHA /HORA]],TBL_CalcDarwin[],47,0)</f>
        <v>#N/A</v>
      </c>
      <c r="H127" s="95" t="e">
        <f>VLOOKUP(Table14[[#This Row],[FECHA /HORA]],TBL_CalcDarwin[],44,0)</f>
        <v>#N/A</v>
      </c>
      <c r="I127" s="95" t="e">
        <f>VLOOKUP(Table14[[#This Row],[FECHA /HORA]],TBL_CalcDarwin[],45,0)</f>
        <v>#N/A</v>
      </c>
      <c r="J127" s="53" t="e">
        <f>Table14[[#This Row],[MW Proyectada (Barra A)]]+Table14[[#This Row],[MW Proyectada (Barra B)]]</f>
        <v>#N/A</v>
      </c>
    </row>
    <row r="128" spans="2:10" x14ac:dyDescent="0.25">
      <c r="B128" s="91">
        <f>Table110[[#This Row],[Fecha]]</f>
        <v>45588.291666666366</v>
      </c>
      <c r="C128" s="52">
        <f>Table110[[#This Row],[Hora]]</f>
        <v>5.2916666666666696</v>
      </c>
      <c r="D128" s="92">
        <f>Table14[[#This Row],[Fecha]]</f>
        <v>45588.291666666366</v>
      </c>
      <c r="E128" s="53" t="e">
        <f>Table110[[#This Row],[Viento m/s]]</f>
        <v>#N/A</v>
      </c>
      <c r="F128" s="96" t="e">
        <f>VLOOKUP(Table14[[#This Row],[FECHA /HORA]],TBL_CalcDarwin[],46,0)</f>
        <v>#N/A</v>
      </c>
      <c r="G128" s="53" t="e">
        <f>VLOOKUP(Table14[[#This Row],[FECHA /HORA]],TBL_CalcDarwin[],47,0)</f>
        <v>#N/A</v>
      </c>
      <c r="H128" s="95" t="e">
        <f>VLOOKUP(Table14[[#This Row],[FECHA /HORA]],TBL_CalcDarwin[],44,0)</f>
        <v>#N/A</v>
      </c>
      <c r="I128" s="95" t="e">
        <f>VLOOKUP(Table14[[#This Row],[FECHA /HORA]],TBL_CalcDarwin[],45,0)</f>
        <v>#N/A</v>
      </c>
      <c r="J128" s="53" t="e">
        <f>Table14[[#This Row],[MW Proyectada (Barra A)]]+Table14[[#This Row],[MW Proyectada (Barra B)]]</f>
        <v>#N/A</v>
      </c>
    </row>
    <row r="129" spans="2:10" x14ac:dyDescent="0.25">
      <c r="B129" s="91">
        <f>Table110[[#This Row],[Fecha]]</f>
        <v>45588.33333333303</v>
      </c>
      <c r="C129" s="52">
        <f>Table110[[#This Row],[Hora]]</f>
        <v>5.3333333333333366</v>
      </c>
      <c r="D129" s="92">
        <f>Table14[[#This Row],[Fecha]]</f>
        <v>45588.33333333303</v>
      </c>
      <c r="E129" s="53" t="e">
        <f>Table110[[#This Row],[Viento m/s]]</f>
        <v>#N/A</v>
      </c>
      <c r="F129" s="96" t="e">
        <f>VLOOKUP(Table14[[#This Row],[FECHA /HORA]],TBL_CalcDarwin[],46,0)</f>
        <v>#N/A</v>
      </c>
      <c r="G129" s="53" t="e">
        <f>VLOOKUP(Table14[[#This Row],[FECHA /HORA]],TBL_CalcDarwin[],47,0)</f>
        <v>#N/A</v>
      </c>
      <c r="H129" s="95" t="e">
        <f>VLOOKUP(Table14[[#This Row],[FECHA /HORA]],TBL_CalcDarwin[],44,0)</f>
        <v>#N/A</v>
      </c>
      <c r="I129" s="95" t="e">
        <f>VLOOKUP(Table14[[#This Row],[FECHA /HORA]],TBL_CalcDarwin[],45,0)</f>
        <v>#N/A</v>
      </c>
      <c r="J129" s="53" t="e">
        <f>Table14[[#This Row],[MW Proyectada (Barra A)]]+Table14[[#This Row],[MW Proyectada (Barra B)]]</f>
        <v>#N/A</v>
      </c>
    </row>
    <row r="130" spans="2:10" x14ac:dyDescent="0.25">
      <c r="B130" s="91">
        <f>Table110[[#This Row],[Fecha]]</f>
        <v>45588.374999999694</v>
      </c>
      <c r="C130" s="52">
        <f>Table110[[#This Row],[Hora]]</f>
        <v>5.3750000000000036</v>
      </c>
      <c r="D130" s="92">
        <f>Table14[[#This Row],[Fecha]]</f>
        <v>45588.374999999694</v>
      </c>
      <c r="E130" s="53" t="e">
        <f>Table110[[#This Row],[Viento m/s]]</f>
        <v>#N/A</v>
      </c>
      <c r="F130" s="96" t="e">
        <f>VLOOKUP(Table14[[#This Row],[FECHA /HORA]],TBL_CalcDarwin[],46,0)</f>
        <v>#N/A</v>
      </c>
      <c r="G130" s="53" t="e">
        <f>VLOOKUP(Table14[[#This Row],[FECHA /HORA]],TBL_CalcDarwin[],47,0)</f>
        <v>#N/A</v>
      </c>
      <c r="H130" s="95" t="e">
        <f>VLOOKUP(Table14[[#This Row],[FECHA /HORA]],TBL_CalcDarwin[],44,0)</f>
        <v>#N/A</v>
      </c>
      <c r="I130" s="95" t="e">
        <f>VLOOKUP(Table14[[#This Row],[FECHA /HORA]],TBL_CalcDarwin[],45,0)</f>
        <v>#N/A</v>
      </c>
      <c r="J130" s="53" t="e">
        <f>Table14[[#This Row],[MW Proyectada (Barra A)]]+Table14[[#This Row],[MW Proyectada (Barra B)]]</f>
        <v>#N/A</v>
      </c>
    </row>
    <row r="131" spans="2:10" x14ac:dyDescent="0.25">
      <c r="B131" s="91">
        <f>Table110[[#This Row],[Fecha]]</f>
        <v>45588.416666666359</v>
      </c>
      <c r="C131" s="52">
        <f>Table110[[#This Row],[Hora]]</f>
        <v>5.4166666666666705</v>
      </c>
      <c r="D131" s="92">
        <f>Table14[[#This Row],[Fecha]]</f>
        <v>45588.416666666359</v>
      </c>
      <c r="E131" s="53" t="e">
        <f>Table110[[#This Row],[Viento m/s]]</f>
        <v>#N/A</v>
      </c>
      <c r="F131" s="96" t="e">
        <f>VLOOKUP(Table14[[#This Row],[FECHA /HORA]],TBL_CalcDarwin[],46,0)</f>
        <v>#N/A</v>
      </c>
      <c r="G131" s="53" t="e">
        <f>VLOOKUP(Table14[[#This Row],[FECHA /HORA]],TBL_CalcDarwin[],47,0)</f>
        <v>#N/A</v>
      </c>
      <c r="H131" s="95" t="e">
        <f>VLOOKUP(Table14[[#This Row],[FECHA /HORA]],TBL_CalcDarwin[],44,0)</f>
        <v>#N/A</v>
      </c>
      <c r="I131" s="95" t="e">
        <f>VLOOKUP(Table14[[#This Row],[FECHA /HORA]],TBL_CalcDarwin[],45,0)</f>
        <v>#N/A</v>
      </c>
      <c r="J131" s="53" t="e">
        <f>Table14[[#This Row],[MW Proyectada (Barra A)]]+Table14[[#This Row],[MW Proyectada (Barra B)]]</f>
        <v>#N/A</v>
      </c>
    </row>
    <row r="132" spans="2:10" x14ac:dyDescent="0.25">
      <c r="B132" s="91">
        <f>Table110[[#This Row],[Fecha]]</f>
        <v>45588.458333333023</v>
      </c>
      <c r="C132" s="52">
        <f>Table110[[#This Row],[Hora]]</f>
        <v>5.4583333333333375</v>
      </c>
      <c r="D132" s="92">
        <f>Table14[[#This Row],[Fecha]]</f>
        <v>45588.458333333023</v>
      </c>
      <c r="E132" s="53" t="e">
        <f>Table110[[#This Row],[Viento m/s]]</f>
        <v>#N/A</v>
      </c>
      <c r="F132" s="96" t="e">
        <f>VLOOKUP(Table14[[#This Row],[FECHA /HORA]],TBL_CalcDarwin[],46,0)</f>
        <v>#N/A</v>
      </c>
      <c r="G132" s="53" t="e">
        <f>VLOOKUP(Table14[[#This Row],[FECHA /HORA]],TBL_CalcDarwin[],47,0)</f>
        <v>#N/A</v>
      </c>
      <c r="H132" s="95" t="e">
        <f>VLOOKUP(Table14[[#This Row],[FECHA /HORA]],TBL_CalcDarwin[],44,0)</f>
        <v>#N/A</v>
      </c>
      <c r="I132" s="95" t="e">
        <f>VLOOKUP(Table14[[#This Row],[FECHA /HORA]],TBL_CalcDarwin[],45,0)</f>
        <v>#N/A</v>
      </c>
      <c r="J132" s="53" t="e">
        <f>Table14[[#This Row],[MW Proyectada (Barra A)]]+Table14[[#This Row],[MW Proyectada (Barra B)]]</f>
        <v>#N/A</v>
      </c>
    </row>
    <row r="133" spans="2:10" x14ac:dyDescent="0.25">
      <c r="B133" s="91">
        <f>Table110[[#This Row],[Fecha]]</f>
        <v>45588.499999999687</v>
      </c>
      <c r="C133" s="52">
        <f>Table110[[#This Row],[Hora]]</f>
        <v>5.5000000000000044</v>
      </c>
      <c r="D133" s="92">
        <f>Table14[[#This Row],[Fecha]]</f>
        <v>45588.499999999687</v>
      </c>
      <c r="E133" s="53" t="e">
        <f>Table110[[#This Row],[Viento m/s]]</f>
        <v>#N/A</v>
      </c>
      <c r="F133" s="96" t="e">
        <f>VLOOKUP(Table14[[#This Row],[FECHA /HORA]],TBL_CalcDarwin[],46,0)</f>
        <v>#N/A</v>
      </c>
      <c r="G133" s="53" t="e">
        <f>VLOOKUP(Table14[[#This Row],[FECHA /HORA]],TBL_CalcDarwin[],47,0)</f>
        <v>#N/A</v>
      </c>
      <c r="H133" s="95" t="e">
        <f>VLOOKUP(Table14[[#This Row],[FECHA /HORA]],TBL_CalcDarwin[],44,0)</f>
        <v>#N/A</v>
      </c>
      <c r="I133" s="95" t="e">
        <f>VLOOKUP(Table14[[#This Row],[FECHA /HORA]],TBL_CalcDarwin[],45,0)</f>
        <v>#N/A</v>
      </c>
      <c r="J133" s="53" t="e">
        <f>Table14[[#This Row],[MW Proyectada (Barra A)]]+Table14[[#This Row],[MW Proyectada (Barra B)]]</f>
        <v>#N/A</v>
      </c>
    </row>
    <row r="134" spans="2:10" x14ac:dyDescent="0.25">
      <c r="B134" s="91">
        <f>Table110[[#This Row],[Fecha]]</f>
        <v>45588.541666666351</v>
      </c>
      <c r="C134" s="52">
        <f>Table110[[#This Row],[Hora]]</f>
        <v>5.5416666666666714</v>
      </c>
      <c r="D134" s="92">
        <f>Table14[[#This Row],[Fecha]]</f>
        <v>45588.541666666351</v>
      </c>
      <c r="E134" s="53" t="e">
        <f>Table110[[#This Row],[Viento m/s]]</f>
        <v>#N/A</v>
      </c>
      <c r="F134" s="96" t="e">
        <f>VLOOKUP(Table14[[#This Row],[FECHA /HORA]],TBL_CalcDarwin[],46,0)</f>
        <v>#N/A</v>
      </c>
      <c r="G134" s="53" t="e">
        <f>VLOOKUP(Table14[[#This Row],[FECHA /HORA]],TBL_CalcDarwin[],47,0)</f>
        <v>#N/A</v>
      </c>
      <c r="H134" s="95" t="e">
        <f>VLOOKUP(Table14[[#This Row],[FECHA /HORA]],TBL_CalcDarwin[],44,0)</f>
        <v>#N/A</v>
      </c>
      <c r="I134" s="95" t="e">
        <f>VLOOKUP(Table14[[#This Row],[FECHA /HORA]],TBL_CalcDarwin[],45,0)</f>
        <v>#N/A</v>
      </c>
      <c r="J134" s="53" t="e">
        <f>Table14[[#This Row],[MW Proyectada (Barra A)]]+Table14[[#This Row],[MW Proyectada (Barra B)]]</f>
        <v>#N/A</v>
      </c>
    </row>
    <row r="135" spans="2:10" x14ac:dyDescent="0.25">
      <c r="B135" s="91">
        <f>Table110[[#This Row],[Fecha]]</f>
        <v>45588.583333333016</v>
      </c>
      <c r="C135" s="52">
        <f>Table110[[#This Row],[Hora]]</f>
        <v>5.5833333333333384</v>
      </c>
      <c r="D135" s="92">
        <f>Table14[[#This Row],[Fecha]]</f>
        <v>45588.583333333016</v>
      </c>
      <c r="E135" s="53" t="e">
        <f>Table110[[#This Row],[Viento m/s]]</f>
        <v>#N/A</v>
      </c>
      <c r="F135" s="96" t="e">
        <f>VLOOKUP(Table14[[#This Row],[FECHA /HORA]],TBL_CalcDarwin[],46,0)</f>
        <v>#N/A</v>
      </c>
      <c r="G135" s="53" t="e">
        <f>VLOOKUP(Table14[[#This Row],[FECHA /HORA]],TBL_CalcDarwin[],47,0)</f>
        <v>#N/A</v>
      </c>
      <c r="H135" s="95" t="e">
        <f>VLOOKUP(Table14[[#This Row],[FECHA /HORA]],TBL_CalcDarwin[],44,0)</f>
        <v>#N/A</v>
      </c>
      <c r="I135" s="95" t="e">
        <f>VLOOKUP(Table14[[#This Row],[FECHA /HORA]],TBL_CalcDarwin[],45,0)</f>
        <v>#N/A</v>
      </c>
      <c r="J135" s="53" t="e">
        <f>Table14[[#This Row],[MW Proyectada (Barra A)]]+Table14[[#This Row],[MW Proyectada (Barra B)]]</f>
        <v>#N/A</v>
      </c>
    </row>
    <row r="136" spans="2:10" x14ac:dyDescent="0.25">
      <c r="B136" s="91">
        <f>Table110[[#This Row],[Fecha]]</f>
        <v>45588.62499999968</v>
      </c>
      <c r="C136" s="52">
        <f>Table110[[#This Row],[Hora]]</f>
        <v>5.6250000000000053</v>
      </c>
      <c r="D136" s="92">
        <f>Table14[[#This Row],[Fecha]]</f>
        <v>45588.62499999968</v>
      </c>
      <c r="E136" s="53" t="e">
        <f>Table110[[#This Row],[Viento m/s]]</f>
        <v>#N/A</v>
      </c>
      <c r="F136" s="96" t="e">
        <f>VLOOKUP(Table14[[#This Row],[FECHA /HORA]],TBL_CalcDarwin[],46,0)</f>
        <v>#N/A</v>
      </c>
      <c r="G136" s="53" t="e">
        <f>VLOOKUP(Table14[[#This Row],[FECHA /HORA]],TBL_CalcDarwin[],47,0)</f>
        <v>#N/A</v>
      </c>
      <c r="H136" s="95" t="e">
        <f>VLOOKUP(Table14[[#This Row],[FECHA /HORA]],TBL_CalcDarwin[],44,0)</f>
        <v>#N/A</v>
      </c>
      <c r="I136" s="95" t="e">
        <f>VLOOKUP(Table14[[#This Row],[FECHA /HORA]],TBL_CalcDarwin[],45,0)</f>
        <v>#N/A</v>
      </c>
      <c r="J136" s="53" t="e">
        <f>Table14[[#This Row],[MW Proyectada (Barra A)]]+Table14[[#This Row],[MW Proyectada (Barra B)]]</f>
        <v>#N/A</v>
      </c>
    </row>
    <row r="137" spans="2:10" x14ac:dyDescent="0.25">
      <c r="B137" s="91">
        <f>Table110[[#This Row],[Fecha]]</f>
        <v>45588.666666666344</v>
      </c>
      <c r="C137" s="52">
        <f>Table110[[#This Row],[Hora]]</f>
        <v>5.6666666666666723</v>
      </c>
      <c r="D137" s="92">
        <f>Table14[[#This Row],[Fecha]]</f>
        <v>45588.666666666344</v>
      </c>
      <c r="E137" s="53" t="e">
        <f>Table110[[#This Row],[Viento m/s]]</f>
        <v>#N/A</v>
      </c>
      <c r="F137" s="96" t="e">
        <f>VLOOKUP(Table14[[#This Row],[FECHA /HORA]],TBL_CalcDarwin[],46,0)</f>
        <v>#N/A</v>
      </c>
      <c r="G137" s="53" t="e">
        <f>VLOOKUP(Table14[[#This Row],[FECHA /HORA]],TBL_CalcDarwin[],47,0)</f>
        <v>#N/A</v>
      </c>
      <c r="H137" s="95" t="e">
        <f>VLOOKUP(Table14[[#This Row],[FECHA /HORA]],TBL_CalcDarwin[],44,0)</f>
        <v>#N/A</v>
      </c>
      <c r="I137" s="95" t="e">
        <f>VLOOKUP(Table14[[#This Row],[FECHA /HORA]],TBL_CalcDarwin[],45,0)</f>
        <v>#N/A</v>
      </c>
      <c r="J137" s="53" t="e">
        <f>Table14[[#This Row],[MW Proyectada (Barra A)]]+Table14[[#This Row],[MW Proyectada (Barra B)]]</f>
        <v>#N/A</v>
      </c>
    </row>
    <row r="138" spans="2:10" x14ac:dyDescent="0.25">
      <c r="B138" s="91">
        <f>Table110[[#This Row],[Fecha]]</f>
        <v>45588.708333333008</v>
      </c>
      <c r="C138" s="52">
        <f>Table110[[#This Row],[Hora]]</f>
        <v>5.7083333333333393</v>
      </c>
      <c r="D138" s="92">
        <f>Table14[[#This Row],[Fecha]]</f>
        <v>45588.708333333008</v>
      </c>
      <c r="E138" s="53" t="e">
        <f>Table110[[#This Row],[Viento m/s]]</f>
        <v>#N/A</v>
      </c>
      <c r="F138" s="96" t="e">
        <f>VLOOKUP(Table14[[#This Row],[FECHA /HORA]],TBL_CalcDarwin[],46,0)</f>
        <v>#N/A</v>
      </c>
      <c r="G138" s="53" t="e">
        <f>VLOOKUP(Table14[[#This Row],[FECHA /HORA]],TBL_CalcDarwin[],47,0)</f>
        <v>#N/A</v>
      </c>
      <c r="H138" s="95" t="e">
        <f>VLOOKUP(Table14[[#This Row],[FECHA /HORA]],TBL_CalcDarwin[],44,0)</f>
        <v>#N/A</v>
      </c>
      <c r="I138" s="95" t="e">
        <f>VLOOKUP(Table14[[#This Row],[FECHA /HORA]],TBL_CalcDarwin[],45,0)</f>
        <v>#N/A</v>
      </c>
      <c r="J138" s="53" t="e">
        <f>Table14[[#This Row],[MW Proyectada (Barra A)]]+Table14[[#This Row],[MW Proyectada (Barra B)]]</f>
        <v>#N/A</v>
      </c>
    </row>
    <row r="139" spans="2:10" x14ac:dyDescent="0.25">
      <c r="B139" s="91">
        <f>Table110[[#This Row],[Fecha]]</f>
        <v>45588.749999999673</v>
      </c>
      <c r="C139" s="52">
        <f>Table110[[#This Row],[Hora]]</f>
        <v>5.7500000000000062</v>
      </c>
      <c r="D139" s="92">
        <f>Table14[[#This Row],[Fecha]]</f>
        <v>45588.749999999673</v>
      </c>
      <c r="E139" s="53" t="e">
        <f>Table110[[#This Row],[Viento m/s]]</f>
        <v>#N/A</v>
      </c>
      <c r="F139" s="96" t="e">
        <f>VLOOKUP(Table14[[#This Row],[FECHA /HORA]],TBL_CalcDarwin[],46,0)</f>
        <v>#N/A</v>
      </c>
      <c r="G139" s="53" t="e">
        <f>VLOOKUP(Table14[[#This Row],[FECHA /HORA]],TBL_CalcDarwin[],47,0)</f>
        <v>#N/A</v>
      </c>
      <c r="H139" s="95" t="e">
        <f>VLOOKUP(Table14[[#This Row],[FECHA /HORA]],TBL_CalcDarwin[],44,0)</f>
        <v>#N/A</v>
      </c>
      <c r="I139" s="95" t="e">
        <f>VLOOKUP(Table14[[#This Row],[FECHA /HORA]],TBL_CalcDarwin[],45,0)</f>
        <v>#N/A</v>
      </c>
      <c r="J139" s="53" t="e">
        <f>Table14[[#This Row],[MW Proyectada (Barra A)]]+Table14[[#This Row],[MW Proyectada (Barra B)]]</f>
        <v>#N/A</v>
      </c>
    </row>
    <row r="140" spans="2:10" x14ac:dyDescent="0.25">
      <c r="B140" s="91">
        <f>Table110[[#This Row],[Fecha]]</f>
        <v>45588.791666666337</v>
      </c>
      <c r="C140" s="52">
        <f>Table110[[#This Row],[Hora]]</f>
        <v>5.7916666666666732</v>
      </c>
      <c r="D140" s="92">
        <f>Table14[[#This Row],[Fecha]]</f>
        <v>45588.791666666337</v>
      </c>
      <c r="E140" s="53" t="e">
        <f>Table110[[#This Row],[Viento m/s]]</f>
        <v>#N/A</v>
      </c>
      <c r="F140" s="96" t="e">
        <f>VLOOKUP(Table14[[#This Row],[FECHA /HORA]],TBL_CalcDarwin[],46,0)</f>
        <v>#N/A</v>
      </c>
      <c r="G140" s="53" t="e">
        <f>VLOOKUP(Table14[[#This Row],[FECHA /HORA]],TBL_CalcDarwin[],47,0)</f>
        <v>#N/A</v>
      </c>
      <c r="H140" s="95" t="e">
        <f>VLOOKUP(Table14[[#This Row],[FECHA /HORA]],TBL_CalcDarwin[],44,0)</f>
        <v>#N/A</v>
      </c>
      <c r="I140" s="95" t="e">
        <f>VLOOKUP(Table14[[#This Row],[FECHA /HORA]],TBL_CalcDarwin[],45,0)</f>
        <v>#N/A</v>
      </c>
      <c r="J140" s="53" t="e">
        <f>Table14[[#This Row],[MW Proyectada (Barra A)]]+Table14[[#This Row],[MW Proyectada (Barra B)]]</f>
        <v>#N/A</v>
      </c>
    </row>
    <row r="141" spans="2:10" x14ac:dyDescent="0.25">
      <c r="B141" s="91">
        <f>Table110[[#This Row],[Fecha]]</f>
        <v>45588.833333333001</v>
      </c>
      <c r="C141" s="52">
        <f>Table110[[#This Row],[Hora]]</f>
        <v>5.8333333333333401</v>
      </c>
      <c r="D141" s="92">
        <f>Table14[[#This Row],[Fecha]]</f>
        <v>45588.833333333001</v>
      </c>
      <c r="E141" s="53" t="e">
        <f>Table110[[#This Row],[Viento m/s]]</f>
        <v>#N/A</v>
      </c>
      <c r="F141" s="96" t="e">
        <f>VLOOKUP(Table14[[#This Row],[FECHA /HORA]],TBL_CalcDarwin[],46,0)</f>
        <v>#N/A</v>
      </c>
      <c r="G141" s="53" t="e">
        <f>VLOOKUP(Table14[[#This Row],[FECHA /HORA]],TBL_CalcDarwin[],47,0)</f>
        <v>#N/A</v>
      </c>
      <c r="H141" s="95" t="e">
        <f>VLOOKUP(Table14[[#This Row],[FECHA /HORA]],TBL_CalcDarwin[],44,0)</f>
        <v>#N/A</v>
      </c>
      <c r="I141" s="95" t="e">
        <f>VLOOKUP(Table14[[#This Row],[FECHA /HORA]],TBL_CalcDarwin[],45,0)</f>
        <v>#N/A</v>
      </c>
      <c r="J141" s="53" t="e">
        <f>Table14[[#This Row],[MW Proyectada (Barra A)]]+Table14[[#This Row],[MW Proyectada (Barra B)]]</f>
        <v>#N/A</v>
      </c>
    </row>
    <row r="142" spans="2:10" x14ac:dyDescent="0.25">
      <c r="B142" s="91">
        <f>Table110[[#This Row],[Fecha]]</f>
        <v>45588.874999999665</v>
      </c>
      <c r="C142" s="52">
        <f>Table110[[#This Row],[Hora]]</f>
        <v>5.8750000000000071</v>
      </c>
      <c r="D142" s="92">
        <f>Table14[[#This Row],[Fecha]]</f>
        <v>45588.874999999665</v>
      </c>
      <c r="E142" s="53" t="e">
        <f>Table110[[#This Row],[Viento m/s]]</f>
        <v>#N/A</v>
      </c>
      <c r="F142" s="96" t="e">
        <f>VLOOKUP(Table14[[#This Row],[FECHA /HORA]],TBL_CalcDarwin[],46,0)</f>
        <v>#N/A</v>
      </c>
      <c r="G142" s="53" t="e">
        <f>VLOOKUP(Table14[[#This Row],[FECHA /HORA]],TBL_CalcDarwin[],47,0)</f>
        <v>#N/A</v>
      </c>
      <c r="H142" s="95" t="e">
        <f>VLOOKUP(Table14[[#This Row],[FECHA /HORA]],TBL_CalcDarwin[],44,0)</f>
        <v>#N/A</v>
      </c>
      <c r="I142" s="95" t="e">
        <f>VLOOKUP(Table14[[#This Row],[FECHA /HORA]],TBL_CalcDarwin[],45,0)</f>
        <v>#N/A</v>
      </c>
      <c r="J142" s="53" t="e">
        <f>Table14[[#This Row],[MW Proyectada (Barra A)]]+Table14[[#This Row],[MW Proyectada (Barra B)]]</f>
        <v>#N/A</v>
      </c>
    </row>
    <row r="143" spans="2:10" x14ac:dyDescent="0.25">
      <c r="B143" s="91">
        <f>Table110[[#This Row],[Fecha]]</f>
        <v>45588.91666666633</v>
      </c>
      <c r="C143" s="52">
        <f>Table110[[#This Row],[Hora]]</f>
        <v>5.9166666666666741</v>
      </c>
      <c r="D143" s="92">
        <f>Table14[[#This Row],[Fecha]]</f>
        <v>45588.91666666633</v>
      </c>
      <c r="E143" s="53" t="e">
        <f>Table110[[#This Row],[Viento m/s]]</f>
        <v>#N/A</v>
      </c>
      <c r="F143" s="96" t="e">
        <f>VLOOKUP(Table14[[#This Row],[FECHA /HORA]],TBL_CalcDarwin[],46,0)</f>
        <v>#N/A</v>
      </c>
      <c r="G143" s="53" t="e">
        <f>VLOOKUP(Table14[[#This Row],[FECHA /HORA]],TBL_CalcDarwin[],47,0)</f>
        <v>#N/A</v>
      </c>
      <c r="H143" s="95" t="e">
        <f>VLOOKUP(Table14[[#This Row],[FECHA /HORA]],TBL_CalcDarwin[],44,0)</f>
        <v>#N/A</v>
      </c>
      <c r="I143" s="95" t="e">
        <f>VLOOKUP(Table14[[#This Row],[FECHA /HORA]],TBL_CalcDarwin[],45,0)</f>
        <v>#N/A</v>
      </c>
      <c r="J143" s="53" t="e">
        <f>Table14[[#This Row],[MW Proyectada (Barra A)]]+Table14[[#This Row],[MW Proyectada (Barra B)]]</f>
        <v>#N/A</v>
      </c>
    </row>
    <row r="144" spans="2:10" x14ac:dyDescent="0.25">
      <c r="B144" s="91">
        <f>Table110[[#This Row],[Fecha]]</f>
        <v>45588.958333332994</v>
      </c>
      <c r="C144" s="52">
        <f>Table110[[#This Row],[Hora]]</f>
        <v>5.958333333333341</v>
      </c>
      <c r="D144" s="92">
        <f>Table14[[#This Row],[Fecha]]</f>
        <v>45588.958333332994</v>
      </c>
      <c r="E144" s="53" t="e">
        <f>Table110[[#This Row],[Viento m/s]]</f>
        <v>#N/A</v>
      </c>
      <c r="F144" s="96" t="e">
        <f>VLOOKUP(Table14[[#This Row],[FECHA /HORA]],TBL_CalcDarwin[],46,0)</f>
        <v>#N/A</v>
      </c>
      <c r="G144" s="53" t="e">
        <f>VLOOKUP(Table14[[#This Row],[FECHA /HORA]],TBL_CalcDarwin[],47,0)</f>
        <v>#N/A</v>
      </c>
      <c r="H144" s="95" t="e">
        <f>VLOOKUP(Table14[[#This Row],[FECHA /HORA]],TBL_CalcDarwin[],44,0)</f>
        <v>#N/A</v>
      </c>
      <c r="I144" s="95" t="e">
        <f>VLOOKUP(Table14[[#This Row],[FECHA /HORA]],TBL_CalcDarwin[],45,0)</f>
        <v>#N/A</v>
      </c>
      <c r="J144" s="53" t="e">
        <f>Table14[[#This Row],[MW Proyectada (Barra A)]]+Table14[[#This Row],[MW Proyectada (Barra B)]]</f>
        <v>#N/A</v>
      </c>
    </row>
    <row r="145" spans="2:10" x14ac:dyDescent="0.25">
      <c r="B145" s="91">
        <f>Table110[[#This Row],[Fecha]]</f>
        <v>45588.999999999658</v>
      </c>
      <c r="C145" s="52">
        <f>Table110[[#This Row],[Hora]]</f>
        <v>6.000000000000008</v>
      </c>
      <c r="D145" s="92">
        <f>Table14[[#This Row],[Fecha]]</f>
        <v>45588.999999999658</v>
      </c>
      <c r="E145" s="53" t="e">
        <f>Table110[[#This Row],[Viento m/s]]</f>
        <v>#N/A</v>
      </c>
      <c r="F145" s="96" t="e">
        <f>VLOOKUP(Table14[[#This Row],[FECHA /HORA]],TBL_CalcDarwin[],46,0)</f>
        <v>#N/A</v>
      </c>
      <c r="G145" s="53" t="e">
        <f>VLOOKUP(Table14[[#This Row],[FECHA /HORA]],TBL_CalcDarwin[],47,0)</f>
        <v>#N/A</v>
      </c>
      <c r="H145" s="95" t="e">
        <f>VLOOKUP(Table14[[#This Row],[FECHA /HORA]],TBL_CalcDarwin[],44,0)</f>
        <v>#N/A</v>
      </c>
      <c r="I145" s="95" t="e">
        <f>VLOOKUP(Table14[[#This Row],[FECHA /HORA]],TBL_CalcDarwin[],45,0)</f>
        <v>#N/A</v>
      </c>
      <c r="J145" s="53" t="e">
        <f>Table14[[#This Row],[MW Proyectada (Barra A)]]+Table14[[#This Row],[MW Proyectada (Barra B)]]</f>
        <v>#N/A</v>
      </c>
    </row>
    <row r="146" spans="2:10" x14ac:dyDescent="0.25">
      <c r="B146" s="91">
        <f>Table110[[#This Row],[Fecha]]</f>
        <v>45589.041666666322</v>
      </c>
      <c r="C146" s="52">
        <f>Table110[[#This Row],[Hora]]</f>
        <v>6.041666666666675</v>
      </c>
      <c r="D146" s="92">
        <f>Table14[[#This Row],[Fecha]]</f>
        <v>45589.041666666322</v>
      </c>
      <c r="E146" s="53" t="e">
        <f>Table110[[#This Row],[Viento m/s]]</f>
        <v>#N/A</v>
      </c>
      <c r="F146" s="97" t="e">
        <f>VLOOKUP(Table14[[#This Row],[FECHA /HORA]],TBL_CalcDarwin[],46,0)</f>
        <v>#N/A</v>
      </c>
      <c r="G146" s="53" t="e">
        <f>VLOOKUP(Table14[[#This Row],[FECHA /HORA]],TBL_CalcDarwin[],47,0)</f>
        <v>#N/A</v>
      </c>
      <c r="H146" s="95" t="e">
        <f>VLOOKUP(Table14[[#This Row],[FECHA /HORA]],TBL_CalcDarwin[],44,0)</f>
        <v>#N/A</v>
      </c>
      <c r="I146" s="95" t="e">
        <f>VLOOKUP(Table14[[#This Row],[FECHA /HORA]],TBL_CalcDarwin[],45,0)</f>
        <v>#N/A</v>
      </c>
      <c r="J146" s="53" t="e">
        <f>Table14[[#This Row],[MW Proyectada (Barra A)]]+Table14[[#This Row],[MW Proyectada (Barra B)]]</f>
        <v>#N/A</v>
      </c>
    </row>
    <row r="147" spans="2:10" x14ac:dyDescent="0.25">
      <c r="B147" s="91">
        <f>Table110[[#This Row],[Fecha]]</f>
        <v>45589.083333332987</v>
      </c>
      <c r="C147" s="52">
        <f>Table110[[#This Row],[Hora]]</f>
        <v>6.0833333333333419</v>
      </c>
      <c r="D147" s="92">
        <f>Table14[[#This Row],[Fecha]]</f>
        <v>45589.083333332987</v>
      </c>
      <c r="E147" s="53" t="e">
        <f>Table110[[#This Row],[Viento m/s]]</f>
        <v>#N/A</v>
      </c>
      <c r="F147" s="96" t="e">
        <f>VLOOKUP(Table14[[#This Row],[FECHA /HORA]],TBL_CalcDarwin[],46,0)</f>
        <v>#N/A</v>
      </c>
      <c r="G147" s="53" t="e">
        <f>VLOOKUP(Table14[[#This Row],[FECHA /HORA]],TBL_CalcDarwin[],47,0)</f>
        <v>#N/A</v>
      </c>
      <c r="H147" s="95" t="e">
        <f>VLOOKUP(Table14[[#This Row],[FECHA /HORA]],TBL_CalcDarwin[],44,0)</f>
        <v>#N/A</v>
      </c>
      <c r="I147" s="95" t="e">
        <f>VLOOKUP(Table14[[#This Row],[FECHA /HORA]],TBL_CalcDarwin[],45,0)</f>
        <v>#N/A</v>
      </c>
      <c r="J147" s="53" t="e">
        <f>Table14[[#This Row],[MW Proyectada (Barra A)]]+Table14[[#This Row],[MW Proyectada (Barra B)]]</f>
        <v>#N/A</v>
      </c>
    </row>
    <row r="148" spans="2:10" x14ac:dyDescent="0.25">
      <c r="B148" s="91">
        <f>Table110[[#This Row],[Fecha]]</f>
        <v>45589.124999999651</v>
      </c>
      <c r="C148" s="52">
        <f>Table110[[#This Row],[Hora]]</f>
        <v>6.1250000000000089</v>
      </c>
      <c r="D148" s="92">
        <f>Table14[[#This Row],[Fecha]]</f>
        <v>45589.124999999651</v>
      </c>
      <c r="E148" s="53" t="e">
        <f>Table110[[#This Row],[Viento m/s]]</f>
        <v>#N/A</v>
      </c>
      <c r="F148" s="96" t="e">
        <f>VLOOKUP(Table14[[#This Row],[FECHA /HORA]],TBL_CalcDarwin[],46,0)</f>
        <v>#N/A</v>
      </c>
      <c r="G148" s="53" t="e">
        <f>VLOOKUP(Table14[[#This Row],[FECHA /HORA]],TBL_CalcDarwin[],47,0)</f>
        <v>#N/A</v>
      </c>
      <c r="H148" s="95" t="e">
        <f>VLOOKUP(Table14[[#This Row],[FECHA /HORA]],TBL_CalcDarwin[],44,0)</f>
        <v>#N/A</v>
      </c>
      <c r="I148" s="95" t="e">
        <f>VLOOKUP(Table14[[#This Row],[FECHA /HORA]],TBL_CalcDarwin[],45,0)</f>
        <v>#N/A</v>
      </c>
      <c r="J148" s="53" t="e">
        <f>Table14[[#This Row],[MW Proyectada (Barra A)]]+Table14[[#This Row],[MW Proyectada (Barra B)]]</f>
        <v>#N/A</v>
      </c>
    </row>
    <row r="149" spans="2:10" x14ac:dyDescent="0.25">
      <c r="B149" s="91">
        <f>Table110[[#This Row],[Fecha]]</f>
        <v>45589.166666666315</v>
      </c>
      <c r="C149" s="52">
        <f>Table110[[#This Row],[Hora]]</f>
        <v>6.1666666666666758</v>
      </c>
      <c r="D149" s="92">
        <f>Table14[[#This Row],[Fecha]]</f>
        <v>45589.166666666315</v>
      </c>
      <c r="E149" s="53" t="e">
        <f>Table110[[#This Row],[Viento m/s]]</f>
        <v>#N/A</v>
      </c>
      <c r="F149" s="96" t="e">
        <f>VLOOKUP(Table14[[#This Row],[FECHA /HORA]],TBL_CalcDarwin[],46,0)</f>
        <v>#N/A</v>
      </c>
      <c r="G149" s="53" t="e">
        <f>VLOOKUP(Table14[[#This Row],[FECHA /HORA]],TBL_CalcDarwin[],47,0)</f>
        <v>#N/A</v>
      </c>
      <c r="H149" s="95" t="e">
        <f>VLOOKUP(Table14[[#This Row],[FECHA /HORA]],TBL_CalcDarwin[],44,0)</f>
        <v>#N/A</v>
      </c>
      <c r="I149" s="95" t="e">
        <f>VLOOKUP(Table14[[#This Row],[FECHA /HORA]],TBL_CalcDarwin[],45,0)</f>
        <v>#N/A</v>
      </c>
      <c r="J149" s="53" t="e">
        <f>Table14[[#This Row],[MW Proyectada (Barra A)]]+Table14[[#This Row],[MW Proyectada (Barra B)]]</f>
        <v>#N/A</v>
      </c>
    </row>
    <row r="150" spans="2:10" x14ac:dyDescent="0.25">
      <c r="B150" s="91">
        <f>Table110[[#This Row],[Fecha]]</f>
        <v>45589.208333332979</v>
      </c>
      <c r="C150" s="52">
        <f>Table110[[#This Row],[Hora]]</f>
        <v>6.2083333333333428</v>
      </c>
      <c r="D150" s="92">
        <f>Table14[[#This Row],[Fecha]]</f>
        <v>45589.208333332979</v>
      </c>
      <c r="E150" s="53" t="e">
        <f>Table110[[#This Row],[Viento m/s]]</f>
        <v>#N/A</v>
      </c>
      <c r="F150" s="96" t="e">
        <f>VLOOKUP(Table14[[#This Row],[FECHA /HORA]],TBL_CalcDarwin[],46,0)</f>
        <v>#N/A</v>
      </c>
      <c r="G150" s="53" t="e">
        <f>VLOOKUP(Table14[[#This Row],[FECHA /HORA]],TBL_CalcDarwin[],47,0)</f>
        <v>#N/A</v>
      </c>
      <c r="H150" s="95" t="e">
        <f>VLOOKUP(Table14[[#This Row],[FECHA /HORA]],TBL_CalcDarwin[],44,0)</f>
        <v>#N/A</v>
      </c>
      <c r="I150" s="95" t="e">
        <f>VLOOKUP(Table14[[#This Row],[FECHA /HORA]],TBL_CalcDarwin[],45,0)</f>
        <v>#N/A</v>
      </c>
      <c r="J150" s="53" t="e">
        <f>Table14[[#This Row],[MW Proyectada (Barra A)]]+Table14[[#This Row],[MW Proyectada (Barra B)]]</f>
        <v>#N/A</v>
      </c>
    </row>
    <row r="151" spans="2:10" x14ac:dyDescent="0.25">
      <c r="B151" s="91">
        <f>Table110[[#This Row],[Fecha]]</f>
        <v>45589.249999999643</v>
      </c>
      <c r="C151" s="52">
        <f>Table110[[#This Row],[Hora]]</f>
        <v>6.2500000000000098</v>
      </c>
      <c r="D151" s="92">
        <f>Table14[[#This Row],[Fecha]]</f>
        <v>45589.249999999643</v>
      </c>
      <c r="E151" s="53" t="e">
        <f>Table110[[#This Row],[Viento m/s]]</f>
        <v>#N/A</v>
      </c>
      <c r="F151" s="96" t="e">
        <f>VLOOKUP(Table14[[#This Row],[FECHA /HORA]],TBL_CalcDarwin[],46,0)</f>
        <v>#N/A</v>
      </c>
      <c r="G151" s="53" t="e">
        <f>VLOOKUP(Table14[[#This Row],[FECHA /HORA]],TBL_CalcDarwin[],47,0)</f>
        <v>#N/A</v>
      </c>
      <c r="H151" s="95" t="e">
        <f>VLOOKUP(Table14[[#This Row],[FECHA /HORA]],TBL_CalcDarwin[],44,0)</f>
        <v>#N/A</v>
      </c>
      <c r="I151" s="95" t="e">
        <f>VLOOKUP(Table14[[#This Row],[FECHA /HORA]],TBL_CalcDarwin[],45,0)</f>
        <v>#N/A</v>
      </c>
      <c r="J151" s="53" t="e">
        <f>Table14[[#This Row],[MW Proyectada (Barra A)]]+Table14[[#This Row],[MW Proyectada (Barra B)]]</f>
        <v>#N/A</v>
      </c>
    </row>
    <row r="152" spans="2:10" x14ac:dyDescent="0.25">
      <c r="B152" s="91">
        <f>Table110[[#This Row],[Fecha]]</f>
        <v>45589.291666666308</v>
      </c>
      <c r="C152" s="52">
        <f>Table110[[#This Row],[Hora]]</f>
        <v>6.2916666666666767</v>
      </c>
      <c r="D152" s="92">
        <f>Table14[[#This Row],[Fecha]]</f>
        <v>45589.291666666308</v>
      </c>
      <c r="E152" s="53" t="e">
        <f>Table110[[#This Row],[Viento m/s]]</f>
        <v>#N/A</v>
      </c>
      <c r="F152" s="96" t="e">
        <f>VLOOKUP(Table14[[#This Row],[FECHA /HORA]],TBL_CalcDarwin[],46,0)</f>
        <v>#N/A</v>
      </c>
      <c r="G152" s="53" t="e">
        <f>VLOOKUP(Table14[[#This Row],[FECHA /HORA]],TBL_CalcDarwin[],47,0)</f>
        <v>#N/A</v>
      </c>
      <c r="H152" s="95" t="e">
        <f>VLOOKUP(Table14[[#This Row],[FECHA /HORA]],TBL_CalcDarwin[],44,0)</f>
        <v>#N/A</v>
      </c>
      <c r="I152" s="95" t="e">
        <f>VLOOKUP(Table14[[#This Row],[FECHA /HORA]],TBL_CalcDarwin[],45,0)</f>
        <v>#N/A</v>
      </c>
      <c r="J152" s="53" t="e">
        <f>Table14[[#This Row],[MW Proyectada (Barra A)]]+Table14[[#This Row],[MW Proyectada (Barra B)]]</f>
        <v>#N/A</v>
      </c>
    </row>
    <row r="153" spans="2:10" x14ac:dyDescent="0.25">
      <c r="B153" s="91">
        <f>Table110[[#This Row],[Fecha]]</f>
        <v>45589.333333332972</v>
      </c>
      <c r="C153" s="52">
        <f>Table110[[#This Row],[Hora]]</f>
        <v>6.3333333333333437</v>
      </c>
      <c r="D153" s="92">
        <f>Table14[[#This Row],[Fecha]]</f>
        <v>45589.333333332972</v>
      </c>
      <c r="E153" s="53" t="e">
        <f>Table110[[#This Row],[Viento m/s]]</f>
        <v>#N/A</v>
      </c>
      <c r="F153" s="96" t="e">
        <f>VLOOKUP(Table14[[#This Row],[FECHA /HORA]],TBL_CalcDarwin[],46,0)</f>
        <v>#N/A</v>
      </c>
      <c r="G153" s="53" t="e">
        <f>VLOOKUP(Table14[[#This Row],[FECHA /HORA]],TBL_CalcDarwin[],47,0)</f>
        <v>#N/A</v>
      </c>
      <c r="H153" s="95" t="e">
        <f>VLOOKUP(Table14[[#This Row],[FECHA /HORA]],TBL_CalcDarwin[],44,0)</f>
        <v>#N/A</v>
      </c>
      <c r="I153" s="95" t="e">
        <f>VLOOKUP(Table14[[#This Row],[FECHA /HORA]],TBL_CalcDarwin[],45,0)</f>
        <v>#N/A</v>
      </c>
      <c r="J153" s="53" t="e">
        <f>Table14[[#This Row],[MW Proyectada (Barra A)]]+Table14[[#This Row],[MW Proyectada (Barra B)]]</f>
        <v>#N/A</v>
      </c>
    </row>
    <row r="154" spans="2:10" x14ac:dyDescent="0.25">
      <c r="B154" s="91">
        <f>Table110[[#This Row],[Fecha]]</f>
        <v>45589.374999999636</v>
      </c>
      <c r="C154" s="52">
        <f>Table110[[#This Row],[Hora]]</f>
        <v>6.3750000000000107</v>
      </c>
      <c r="D154" s="92">
        <f>Table14[[#This Row],[Fecha]]</f>
        <v>45589.374999999636</v>
      </c>
      <c r="E154" s="53" t="e">
        <f>Table110[[#This Row],[Viento m/s]]</f>
        <v>#N/A</v>
      </c>
      <c r="F154" s="96" t="e">
        <f>VLOOKUP(Table14[[#This Row],[FECHA /HORA]],TBL_CalcDarwin[],46,0)</f>
        <v>#N/A</v>
      </c>
      <c r="G154" s="53" t="e">
        <f>VLOOKUP(Table14[[#This Row],[FECHA /HORA]],TBL_CalcDarwin[],47,0)</f>
        <v>#N/A</v>
      </c>
      <c r="H154" s="95" t="e">
        <f>VLOOKUP(Table14[[#This Row],[FECHA /HORA]],TBL_CalcDarwin[],44,0)</f>
        <v>#N/A</v>
      </c>
      <c r="I154" s="95" t="e">
        <f>VLOOKUP(Table14[[#This Row],[FECHA /HORA]],TBL_CalcDarwin[],45,0)</f>
        <v>#N/A</v>
      </c>
      <c r="J154" s="53" t="e">
        <f>Table14[[#This Row],[MW Proyectada (Barra A)]]+Table14[[#This Row],[MW Proyectada (Barra B)]]</f>
        <v>#N/A</v>
      </c>
    </row>
    <row r="155" spans="2:10" x14ac:dyDescent="0.25">
      <c r="B155" s="91">
        <f>Table110[[#This Row],[Fecha]]</f>
        <v>45589.4166666663</v>
      </c>
      <c r="C155" s="52">
        <f>Table110[[#This Row],[Hora]]</f>
        <v>6.4166666666666776</v>
      </c>
      <c r="D155" s="92">
        <f>Table14[[#This Row],[Fecha]]</f>
        <v>45589.4166666663</v>
      </c>
      <c r="E155" s="53" t="e">
        <f>Table110[[#This Row],[Viento m/s]]</f>
        <v>#N/A</v>
      </c>
      <c r="F155" s="96" t="e">
        <f>VLOOKUP(Table14[[#This Row],[FECHA /HORA]],TBL_CalcDarwin[],46,0)</f>
        <v>#N/A</v>
      </c>
      <c r="G155" s="53" t="e">
        <f>VLOOKUP(Table14[[#This Row],[FECHA /HORA]],TBL_CalcDarwin[],47,0)</f>
        <v>#N/A</v>
      </c>
      <c r="H155" s="95" t="e">
        <f>VLOOKUP(Table14[[#This Row],[FECHA /HORA]],TBL_CalcDarwin[],44,0)</f>
        <v>#N/A</v>
      </c>
      <c r="I155" s="95" t="e">
        <f>VLOOKUP(Table14[[#This Row],[FECHA /HORA]],TBL_CalcDarwin[],45,0)</f>
        <v>#N/A</v>
      </c>
      <c r="J155" s="53" t="e">
        <f>Table14[[#This Row],[MW Proyectada (Barra A)]]+Table14[[#This Row],[MW Proyectada (Barra B)]]</f>
        <v>#N/A</v>
      </c>
    </row>
    <row r="156" spans="2:10" x14ac:dyDescent="0.25">
      <c r="B156" s="91">
        <f>Table110[[#This Row],[Fecha]]</f>
        <v>45589.458333332965</v>
      </c>
      <c r="C156" s="52">
        <f>Table110[[#This Row],[Hora]]</f>
        <v>6.4583333333333446</v>
      </c>
      <c r="D156" s="92">
        <f>Table14[[#This Row],[Fecha]]</f>
        <v>45589.458333332965</v>
      </c>
      <c r="E156" s="53" t="e">
        <f>Table110[[#This Row],[Viento m/s]]</f>
        <v>#N/A</v>
      </c>
      <c r="F156" s="96" t="e">
        <f>VLOOKUP(Table14[[#This Row],[FECHA /HORA]],TBL_CalcDarwin[],46,0)</f>
        <v>#N/A</v>
      </c>
      <c r="G156" s="53" t="e">
        <f>VLOOKUP(Table14[[#This Row],[FECHA /HORA]],TBL_CalcDarwin[],47,0)</f>
        <v>#N/A</v>
      </c>
      <c r="H156" s="95" t="e">
        <f>VLOOKUP(Table14[[#This Row],[FECHA /HORA]],TBL_CalcDarwin[],44,0)</f>
        <v>#N/A</v>
      </c>
      <c r="I156" s="95" t="e">
        <f>VLOOKUP(Table14[[#This Row],[FECHA /HORA]],TBL_CalcDarwin[],45,0)</f>
        <v>#N/A</v>
      </c>
      <c r="J156" s="53" t="e">
        <f>Table14[[#This Row],[MW Proyectada (Barra A)]]+Table14[[#This Row],[MW Proyectada (Barra B)]]</f>
        <v>#N/A</v>
      </c>
    </row>
    <row r="157" spans="2:10" x14ac:dyDescent="0.25">
      <c r="B157" s="91">
        <f>Table110[[#This Row],[Fecha]]</f>
        <v>45589.499999999629</v>
      </c>
      <c r="C157" s="52">
        <f>Table110[[#This Row],[Hora]]</f>
        <v>6.5000000000000115</v>
      </c>
      <c r="D157" s="92">
        <f>Table14[[#This Row],[Fecha]]</f>
        <v>45589.499999999629</v>
      </c>
      <c r="E157" s="53" t="e">
        <f>Table110[[#This Row],[Viento m/s]]</f>
        <v>#N/A</v>
      </c>
      <c r="F157" s="96" t="e">
        <f>VLOOKUP(Table14[[#This Row],[FECHA /HORA]],TBL_CalcDarwin[],46,0)</f>
        <v>#N/A</v>
      </c>
      <c r="G157" s="53" t="e">
        <f>VLOOKUP(Table14[[#This Row],[FECHA /HORA]],TBL_CalcDarwin[],47,0)</f>
        <v>#N/A</v>
      </c>
      <c r="H157" s="95" t="e">
        <f>VLOOKUP(Table14[[#This Row],[FECHA /HORA]],TBL_CalcDarwin[],44,0)</f>
        <v>#N/A</v>
      </c>
      <c r="I157" s="95" t="e">
        <f>VLOOKUP(Table14[[#This Row],[FECHA /HORA]],TBL_CalcDarwin[],45,0)</f>
        <v>#N/A</v>
      </c>
      <c r="J157" s="53" t="e">
        <f>Table14[[#This Row],[MW Proyectada (Barra A)]]+Table14[[#This Row],[MW Proyectada (Barra B)]]</f>
        <v>#N/A</v>
      </c>
    </row>
    <row r="158" spans="2:10" x14ac:dyDescent="0.25">
      <c r="B158" s="91">
        <f>Table110[[#This Row],[Fecha]]</f>
        <v>45589.541666666293</v>
      </c>
      <c r="C158" s="52">
        <f>Table110[[#This Row],[Hora]]</f>
        <v>6.5416666666666785</v>
      </c>
      <c r="D158" s="92">
        <f>Table14[[#This Row],[Fecha]]</f>
        <v>45589.541666666293</v>
      </c>
      <c r="E158" s="53" t="e">
        <f>Table110[[#This Row],[Viento m/s]]</f>
        <v>#N/A</v>
      </c>
      <c r="F158" s="96" t="e">
        <f>VLOOKUP(Table14[[#This Row],[FECHA /HORA]],TBL_CalcDarwin[],46,0)</f>
        <v>#N/A</v>
      </c>
      <c r="G158" s="53" t="e">
        <f>VLOOKUP(Table14[[#This Row],[FECHA /HORA]],TBL_CalcDarwin[],47,0)</f>
        <v>#N/A</v>
      </c>
      <c r="H158" s="95" t="e">
        <f>VLOOKUP(Table14[[#This Row],[FECHA /HORA]],TBL_CalcDarwin[],44,0)</f>
        <v>#N/A</v>
      </c>
      <c r="I158" s="95" t="e">
        <f>VLOOKUP(Table14[[#This Row],[FECHA /HORA]],TBL_CalcDarwin[],45,0)</f>
        <v>#N/A</v>
      </c>
      <c r="J158" s="53" t="e">
        <f>Table14[[#This Row],[MW Proyectada (Barra A)]]+Table14[[#This Row],[MW Proyectada (Barra B)]]</f>
        <v>#N/A</v>
      </c>
    </row>
    <row r="159" spans="2:10" x14ac:dyDescent="0.25">
      <c r="B159" s="91">
        <f>Table110[[#This Row],[Fecha]]</f>
        <v>45589.583333332957</v>
      </c>
      <c r="C159" s="52">
        <f>Table110[[#This Row],[Hora]]</f>
        <v>6.5833333333333455</v>
      </c>
      <c r="D159" s="92">
        <f>Table14[[#This Row],[Fecha]]</f>
        <v>45589.583333332957</v>
      </c>
      <c r="E159" s="53" t="e">
        <f>Table110[[#This Row],[Viento m/s]]</f>
        <v>#N/A</v>
      </c>
      <c r="F159" s="96" t="e">
        <f>VLOOKUP(Table14[[#This Row],[FECHA /HORA]],TBL_CalcDarwin[],46,0)</f>
        <v>#N/A</v>
      </c>
      <c r="G159" s="53" t="e">
        <f>VLOOKUP(Table14[[#This Row],[FECHA /HORA]],TBL_CalcDarwin[],47,0)</f>
        <v>#N/A</v>
      </c>
      <c r="H159" s="95" t="e">
        <f>VLOOKUP(Table14[[#This Row],[FECHA /HORA]],TBL_CalcDarwin[],44,0)</f>
        <v>#N/A</v>
      </c>
      <c r="I159" s="95" t="e">
        <f>VLOOKUP(Table14[[#This Row],[FECHA /HORA]],TBL_CalcDarwin[],45,0)</f>
        <v>#N/A</v>
      </c>
      <c r="J159" s="53" t="e">
        <f>Table14[[#This Row],[MW Proyectada (Barra A)]]+Table14[[#This Row],[MW Proyectada (Barra B)]]</f>
        <v>#N/A</v>
      </c>
    </row>
    <row r="160" spans="2:10" x14ac:dyDescent="0.25">
      <c r="B160" s="91">
        <f>Table110[[#This Row],[Fecha]]</f>
        <v>45589.624999999622</v>
      </c>
      <c r="C160" s="52">
        <f>Table110[[#This Row],[Hora]]</f>
        <v>6.6250000000000124</v>
      </c>
      <c r="D160" s="92">
        <f>Table14[[#This Row],[Fecha]]</f>
        <v>45589.624999999622</v>
      </c>
      <c r="E160" s="53" t="e">
        <f>Table110[[#This Row],[Viento m/s]]</f>
        <v>#N/A</v>
      </c>
      <c r="F160" s="96" t="e">
        <f>VLOOKUP(Table14[[#This Row],[FECHA /HORA]],TBL_CalcDarwin[],46,0)</f>
        <v>#N/A</v>
      </c>
      <c r="G160" s="53" t="e">
        <f>VLOOKUP(Table14[[#This Row],[FECHA /HORA]],TBL_CalcDarwin[],47,0)</f>
        <v>#N/A</v>
      </c>
      <c r="H160" s="95" t="e">
        <f>VLOOKUP(Table14[[#This Row],[FECHA /HORA]],TBL_CalcDarwin[],44,0)</f>
        <v>#N/A</v>
      </c>
      <c r="I160" s="95" t="e">
        <f>VLOOKUP(Table14[[#This Row],[FECHA /HORA]],TBL_CalcDarwin[],45,0)</f>
        <v>#N/A</v>
      </c>
      <c r="J160" s="53" t="e">
        <f>Table14[[#This Row],[MW Proyectada (Barra A)]]+Table14[[#This Row],[MW Proyectada (Barra B)]]</f>
        <v>#N/A</v>
      </c>
    </row>
    <row r="161" spans="2:10" x14ac:dyDescent="0.25">
      <c r="B161" s="91">
        <f>Table110[[#This Row],[Fecha]]</f>
        <v>45589.666666666286</v>
      </c>
      <c r="C161" s="52">
        <f>Table110[[#This Row],[Hora]]</f>
        <v>6.6666666666666794</v>
      </c>
      <c r="D161" s="92">
        <f>Table14[[#This Row],[Fecha]]</f>
        <v>45589.666666666286</v>
      </c>
      <c r="E161" s="53" t="e">
        <f>Table110[[#This Row],[Viento m/s]]</f>
        <v>#N/A</v>
      </c>
      <c r="F161" s="96" t="e">
        <f>VLOOKUP(Table14[[#This Row],[FECHA /HORA]],TBL_CalcDarwin[],46,0)</f>
        <v>#N/A</v>
      </c>
      <c r="G161" s="53" t="e">
        <f>VLOOKUP(Table14[[#This Row],[FECHA /HORA]],TBL_CalcDarwin[],47,0)</f>
        <v>#N/A</v>
      </c>
      <c r="H161" s="95" t="e">
        <f>VLOOKUP(Table14[[#This Row],[FECHA /HORA]],TBL_CalcDarwin[],44,0)</f>
        <v>#N/A</v>
      </c>
      <c r="I161" s="95" t="e">
        <f>VLOOKUP(Table14[[#This Row],[FECHA /HORA]],TBL_CalcDarwin[],45,0)</f>
        <v>#N/A</v>
      </c>
      <c r="J161" s="53" t="e">
        <f>Table14[[#This Row],[MW Proyectada (Barra A)]]+Table14[[#This Row],[MW Proyectada (Barra B)]]</f>
        <v>#N/A</v>
      </c>
    </row>
    <row r="162" spans="2:10" x14ac:dyDescent="0.25">
      <c r="B162" s="91">
        <f>Table110[[#This Row],[Fecha]]</f>
        <v>45589.70833333295</v>
      </c>
      <c r="C162" s="52">
        <f>Table110[[#This Row],[Hora]]</f>
        <v>6.7083333333333464</v>
      </c>
      <c r="D162" s="92">
        <f>Table14[[#This Row],[Fecha]]</f>
        <v>45589.70833333295</v>
      </c>
      <c r="E162" s="53" t="e">
        <f>Table110[[#This Row],[Viento m/s]]</f>
        <v>#N/A</v>
      </c>
      <c r="F162" s="96" t="e">
        <f>VLOOKUP(Table14[[#This Row],[FECHA /HORA]],TBL_CalcDarwin[],46,0)</f>
        <v>#N/A</v>
      </c>
      <c r="G162" s="53" t="e">
        <f>VLOOKUP(Table14[[#This Row],[FECHA /HORA]],TBL_CalcDarwin[],47,0)</f>
        <v>#N/A</v>
      </c>
      <c r="H162" s="95" t="e">
        <f>VLOOKUP(Table14[[#This Row],[FECHA /HORA]],TBL_CalcDarwin[],44,0)</f>
        <v>#N/A</v>
      </c>
      <c r="I162" s="95" t="e">
        <f>VLOOKUP(Table14[[#This Row],[FECHA /HORA]],TBL_CalcDarwin[],45,0)</f>
        <v>#N/A</v>
      </c>
      <c r="J162" s="53" t="e">
        <f>Table14[[#This Row],[MW Proyectada (Barra A)]]+Table14[[#This Row],[MW Proyectada (Barra B)]]</f>
        <v>#N/A</v>
      </c>
    </row>
    <row r="163" spans="2:10" x14ac:dyDescent="0.25">
      <c r="B163" s="91">
        <f>Table110[[#This Row],[Fecha]]</f>
        <v>45589.749999999614</v>
      </c>
      <c r="C163" s="52">
        <f>Table110[[#This Row],[Hora]]</f>
        <v>6.7500000000000133</v>
      </c>
      <c r="D163" s="92">
        <f>Table14[[#This Row],[Fecha]]</f>
        <v>45589.749999999614</v>
      </c>
      <c r="E163" s="53" t="e">
        <f>Table110[[#This Row],[Viento m/s]]</f>
        <v>#N/A</v>
      </c>
      <c r="F163" s="96" t="e">
        <f>VLOOKUP(Table14[[#This Row],[FECHA /HORA]],TBL_CalcDarwin[],46,0)</f>
        <v>#N/A</v>
      </c>
      <c r="G163" s="53" t="e">
        <f>VLOOKUP(Table14[[#This Row],[FECHA /HORA]],TBL_CalcDarwin[],47,0)</f>
        <v>#N/A</v>
      </c>
      <c r="H163" s="95" t="e">
        <f>VLOOKUP(Table14[[#This Row],[FECHA /HORA]],TBL_CalcDarwin[],44,0)</f>
        <v>#N/A</v>
      </c>
      <c r="I163" s="95" t="e">
        <f>VLOOKUP(Table14[[#This Row],[FECHA /HORA]],TBL_CalcDarwin[],45,0)</f>
        <v>#N/A</v>
      </c>
      <c r="J163" s="53" t="e">
        <f>Table14[[#This Row],[MW Proyectada (Barra A)]]+Table14[[#This Row],[MW Proyectada (Barra B)]]</f>
        <v>#N/A</v>
      </c>
    </row>
    <row r="164" spans="2:10" x14ac:dyDescent="0.25">
      <c r="B164" s="91">
        <f>Table110[[#This Row],[Fecha]]</f>
        <v>45589.791666666279</v>
      </c>
      <c r="C164" s="52">
        <f>Table110[[#This Row],[Hora]]</f>
        <v>6.7916666666666803</v>
      </c>
      <c r="D164" s="92">
        <f>Table14[[#This Row],[Fecha]]</f>
        <v>45589.791666666279</v>
      </c>
      <c r="E164" s="53" t="e">
        <f>Table110[[#This Row],[Viento m/s]]</f>
        <v>#N/A</v>
      </c>
      <c r="F164" s="96" t="e">
        <f>VLOOKUP(Table14[[#This Row],[FECHA /HORA]],TBL_CalcDarwin[],46,0)</f>
        <v>#N/A</v>
      </c>
      <c r="G164" s="53" t="e">
        <f>VLOOKUP(Table14[[#This Row],[FECHA /HORA]],TBL_CalcDarwin[],47,0)</f>
        <v>#N/A</v>
      </c>
      <c r="H164" s="95" t="e">
        <f>VLOOKUP(Table14[[#This Row],[FECHA /HORA]],TBL_CalcDarwin[],44,0)</f>
        <v>#N/A</v>
      </c>
      <c r="I164" s="95" t="e">
        <f>VLOOKUP(Table14[[#This Row],[FECHA /HORA]],TBL_CalcDarwin[],45,0)</f>
        <v>#N/A</v>
      </c>
      <c r="J164" s="53" t="e">
        <f>Table14[[#This Row],[MW Proyectada (Barra A)]]+Table14[[#This Row],[MW Proyectada (Barra B)]]</f>
        <v>#N/A</v>
      </c>
    </row>
    <row r="165" spans="2:10" x14ac:dyDescent="0.25">
      <c r="B165" s="91">
        <f>Table110[[#This Row],[Fecha]]</f>
        <v>45589.833333332943</v>
      </c>
      <c r="C165" s="52">
        <f>Table110[[#This Row],[Hora]]</f>
        <v>6.8333333333333472</v>
      </c>
      <c r="D165" s="92">
        <f>Table14[[#This Row],[Fecha]]</f>
        <v>45589.833333332943</v>
      </c>
      <c r="E165" s="53" t="e">
        <f>Table110[[#This Row],[Viento m/s]]</f>
        <v>#N/A</v>
      </c>
      <c r="F165" s="96" t="e">
        <f>VLOOKUP(Table14[[#This Row],[FECHA /HORA]],TBL_CalcDarwin[],46,0)</f>
        <v>#N/A</v>
      </c>
      <c r="G165" s="53" t="e">
        <f>VLOOKUP(Table14[[#This Row],[FECHA /HORA]],TBL_CalcDarwin[],47,0)</f>
        <v>#N/A</v>
      </c>
      <c r="H165" s="95" t="e">
        <f>VLOOKUP(Table14[[#This Row],[FECHA /HORA]],TBL_CalcDarwin[],44,0)</f>
        <v>#N/A</v>
      </c>
      <c r="I165" s="95" t="e">
        <f>VLOOKUP(Table14[[#This Row],[FECHA /HORA]],TBL_CalcDarwin[],45,0)</f>
        <v>#N/A</v>
      </c>
      <c r="J165" s="53" t="e">
        <f>Table14[[#This Row],[MW Proyectada (Barra A)]]+Table14[[#This Row],[MW Proyectada (Barra B)]]</f>
        <v>#N/A</v>
      </c>
    </row>
    <row r="166" spans="2:10" x14ac:dyDescent="0.25">
      <c r="B166" s="91">
        <f>Table110[[#This Row],[Fecha]]</f>
        <v>45589.874999999607</v>
      </c>
      <c r="C166" s="52">
        <f>Table110[[#This Row],[Hora]]</f>
        <v>6.8750000000000142</v>
      </c>
      <c r="D166" s="92">
        <f>Table14[[#This Row],[Fecha]]</f>
        <v>45589.874999999607</v>
      </c>
      <c r="E166" s="53" t="e">
        <f>Table110[[#This Row],[Viento m/s]]</f>
        <v>#N/A</v>
      </c>
      <c r="F166" s="96" t="e">
        <f>VLOOKUP(Table14[[#This Row],[FECHA /HORA]],TBL_CalcDarwin[],46,0)</f>
        <v>#N/A</v>
      </c>
      <c r="G166" s="53" t="e">
        <f>VLOOKUP(Table14[[#This Row],[FECHA /HORA]],TBL_CalcDarwin[],47,0)</f>
        <v>#N/A</v>
      </c>
      <c r="H166" s="95" t="e">
        <f>VLOOKUP(Table14[[#This Row],[FECHA /HORA]],TBL_CalcDarwin[],44,0)</f>
        <v>#N/A</v>
      </c>
      <c r="I166" s="95" t="e">
        <f>VLOOKUP(Table14[[#This Row],[FECHA /HORA]],TBL_CalcDarwin[],45,0)</f>
        <v>#N/A</v>
      </c>
      <c r="J166" s="53" t="e">
        <f>Table14[[#This Row],[MW Proyectada (Barra A)]]+Table14[[#This Row],[MW Proyectada (Barra B)]]</f>
        <v>#N/A</v>
      </c>
    </row>
    <row r="167" spans="2:10" x14ac:dyDescent="0.25">
      <c r="B167" s="91">
        <f>Table110[[#This Row],[Fecha]]</f>
        <v>45589.916666666271</v>
      </c>
      <c r="C167" s="52">
        <f>Table110[[#This Row],[Hora]]</f>
        <v>6.9166666666666812</v>
      </c>
      <c r="D167" s="92">
        <f>Table14[[#This Row],[Fecha]]</f>
        <v>45589.916666666271</v>
      </c>
      <c r="E167" s="53" t="e">
        <f>Table110[[#This Row],[Viento m/s]]</f>
        <v>#N/A</v>
      </c>
      <c r="F167" s="96" t="e">
        <f>VLOOKUP(Table14[[#This Row],[FECHA /HORA]],TBL_CalcDarwin[],46,0)</f>
        <v>#N/A</v>
      </c>
      <c r="G167" s="53" t="e">
        <f>VLOOKUP(Table14[[#This Row],[FECHA /HORA]],TBL_CalcDarwin[],47,0)</f>
        <v>#N/A</v>
      </c>
      <c r="H167" s="95" t="e">
        <f>VLOOKUP(Table14[[#This Row],[FECHA /HORA]],TBL_CalcDarwin[],44,0)</f>
        <v>#N/A</v>
      </c>
      <c r="I167" s="95" t="e">
        <f>VLOOKUP(Table14[[#This Row],[FECHA /HORA]],TBL_CalcDarwin[],45,0)</f>
        <v>#N/A</v>
      </c>
      <c r="J167" s="53" t="e">
        <f>Table14[[#This Row],[MW Proyectada (Barra A)]]+Table14[[#This Row],[MW Proyectada (Barra B)]]</f>
        <v>#N/A</v>
      </c>
    </row>
    <row r="168" spans="2:10" x14ac:dyDescent="0.25">
      <c r="B168" s="91">
        <f>Table110[[#This Row],[Fecha]]</f>
        <v>45589.958333332936</v>
      </c>
      <c r="C168" s="52">
        <f>Table110[[#This Row],[Hora]]</f>
        <v>6.9583333333333481</v>
      </c>
      <c r="D168" s="92">
        <f>Table14[[#This Row],[Fecha]]</f>
        <v>45589.958333332936</v>
      </c>
      <c r="E168" s="53" t="e">
        <f>Table110[[#This Row],[Viento m/s]]</f>
        <v>#N/A</v>
      </c>
      <c r="F168" s="96" t="e">
        <f>VLOOKUP(Table14[[#This Row],[FECHA /HORA]],TBL_CalcDarwin[],46,0)</f>
        <v>#N/A</v>
      </c>
      <c r="G168" s="53" t="e">
        <f>VLOOKUP(Table14[[#This Row],[FECHA /HORA]],TBL_CalcDarwin[],47,0)</f>
        <v>#N/A</v>
      </c>
      <c r="H168" s="95" t="e">
        <f>VLOOKUP(Table14[[#This Row],[FECHA /HORA]],TBL_CalcDarwin[],44,0)</f>
        <v>#N/A</v>
      </c>
      <c r="I168" s="95" t="e">
        <f>VLOOKUP(Table14[[#This Row],[FECHA /HORA]],TBL_CalcDarwin[],45,0)</f>
        <v>#N/A</v>
      </c>
      <c r="J168" s="53" t="e">
        <f>Table14[[#This Row],[MW Proyectada (Barra A)]]+Table14[[#This Row],[MW Proyectada (Barra B)]]</f>
        <v>#N/A</v>
      </c>
    </row>
    <row r="169" spans="2:10" x14ac:dyDescent="0.25">
      <c r="B169" s="91">
        <f>Table110[[#This Row],[Fecha]]</f>
        <v>45589.9999999996</v>
      </c>
      <c r="C169" s="52">
        <f>Table110[[#This Row],[Hora]]</f>
        <v>7.0000000000000151</v>
      </c>
      <c r="D169" s="92">
        <f>Table14[[#This Row],[Fecha]]</f>
        <v>45589.9999999996</v>
      </c>
      <c r="E169" s="53" t="e">
        <f>Table110[[#This Row],[Viento m/s]]</f>
        <v>#N/A</v>
      </c>
      <c r="F169" s="96" t="e">
        <f>VLOOKUP(Table14[[#This Row],[FECHA /HORA]],TBL_CalcDarwin[],46,0)</f>
        <v>#N/A</v>
      </c>
      <c r="G169" s="53" t="e">
        <f>VLOOKUP(Table14[[#This Row],[FECHA /HORA]],TBL_CalcDarwin[],47,0)</f>
        <v>#N/A</v>
      </c>
      <c r="H169" s="95" t="e">
        <f>VLOOKUP(Table14[[#This Row],[FECHA /HORA]],TBL_CalcDarwin[],44,0)</f>
        <v>#N/A</v>
      </c>
      <c r="I169" s="95" t="e">
        <f>VLOOKUP(Table14[[#This Row],[FECHA /HORA]],TBL_CalcDarwin[],45,0)</f>
        <v>#N/A</v>
      </c>
      <c r="J169" s="53" t="e">
        <f>Table14[[#This Row],[MW Proyectada (Barra A)]]+Table14[[#This Row],[MW Proyectada (Barra B)]]</f>
        <v>#N/A</v>
      </c>
    </row>
    <row r="170" spans="2:10" x14ac:dyDescent="0.25">
      <c r="B170" s="91">
        <f>Table110[[#This Row],[Fecha]]</f>
        <v>45590.041666666264</v>
      </c>
      <c r="C170" s="52">
        <f>Table110[[#This Row],[Hora]]</f>
        <v>7.0416666666666821</v>
      </c>
      <c r="D170" s="92">
        <f>Table14[[#This Row],[Fecha]]</f>
        <v>45590.041666666264</v>
      </c>
      <c r="E170" s="53" t="e">
        <f>Table110[[#This Row],[Viento m/s]]</f>
        <v>#N/A</v>
      </c>
      <c r="F170" s="96" t="e">
        <f>VLOOKUP(Table14[[#This Row],[FECHA /HORA]],TBL_CalcDarwin[],46,0)</f>
        <v>#N/A</v>
      </c>
      <c r="G170" s="53" t="e">
        <f>VLOOKUP(Table14[[#This Row],[FECHA /HORA]],TBL_CalcDarwin[],47,0)</f>
        <v>#N/A</v>
      </c>
      <c r="H170" s="95" t="e">
        <f>VLOOKUP(Table14[[#This Row],[FECHA /HORA]],TBL_CalcDarwin[],44,0)</f>
        <v>#N/A</v>
      </c>
      <c r="I170" s="95" t="e">
        <f>VLOOKUP(Table14[[#This Row],[FECHA /HORA]],TBL_CalcDarwin[],45,0)</f>
        <v>#N/A</v>
      </c>
      <c r="J170" s="53" t="e">
        <f>Table14[[#This Row],[MW Proyectada (Barra A)]]+Table14[[#This Row],[MW Proyectada (Barra B)]]</f>
        <v>#N/A</v>
      </c>
    </row>
    <row r="171" spans="2:10" x14ac:dyDescent="0.25">
      <c r="B171" s="91">
        <f>Table110[[#This Row],[Fecha]]</f>
        <v>45590.083333332928</v>
      </c>
      <c r="C171" s="52">
        <f>Table110[[#This Row],[Hora]]</f>
        <v>7.083333333333349</v>
      </c>
      <c r="D171" s="92">
        <f>Table14[[#This Row],[Fecha]]</f>
        <v>45590.083333332928</v>
      </c>
      <c r="E171" s="53" t="e">
        <f>Table110[[#This Row],[Viento m/s]]</f>
        <v>#N/A</v>
      </c>
      <c r="F171" s="96" t="e">
        <f>VLOOKUP(Table14[[#This Row],[FECHA /HORA]],TBL_CalcDarwin[],46,0)</f>
        <v>#N/A</v>
      </c>
      <c r="G171" s="53" t="e">
        <f>VLOOKUP(Table14[[#This Row],[FECHA /HORA]],TBL_CalcDarwin[],47,0)</f>
        <v>#N/A</v>
      </c>
      <c r="H171" s="95" t="e">
        <f>VLOOKUP(Table14[[#This Row],[FECHA /HORA]],TBL_CalcDarwin[],44,0)</f>
        <v>#N/A</v>
      </c>
      <c r="I171" s="95" t="e">
        <f>VLOOKUP(Table14[[#This Row],[FECHA /HORA]],TBL_CalcDarwin[],45,0)</f>
        <v>#N/A</v>
      </c>
      <c r="J171" s="53" t="e">
        <f>Table14[[#This Row],[MW Proyectada (Barra A)]]+Table14[[#This Row],[MW Proyectada (Barra B)]]</f>
        <v>#N/A</v>
      </c>
    </row>
    <row r="172" spans="2:10" x14ac:dyDescent="0.25">
      <c r="B172" s="91">
        <f>Table110[[#This Row],[Fecha]]</f>
        <v>45590.124999999593</v>
      </c>
      <c r="C172" s="52">
        <f>Table110[[#This Row],[Hora]]</f>
        <v>7.125000000000016</v>
      </c>
      <c r="D172" s="92">
        <f>Table14[[#This Row],[Fecha]]</f>
        <v>45590.124999999593</v>
      </c>
      <c r="E172" s="53" t="e">
        <f>Table110[[#This Row],[Viento m/s]]</f>
        <v>#N/A</v>
      </c>
      <c r="F172" s="96" t="e">
        <f>VLOOKUP(Table14[[#This Row],[FECHA /HORA]],TBL_CalcDarwin[],46,0)</f>
        <v>#N/A</v>
      </c>
      <c r="G172" s="53" t="e">
        <f>VLOOKUP(Table14[[#This Row],[FECHA /HORA]],TBL_CalcDarwin[],47,0)</f>
        <v>#N/A</v>
      </c>
      <c r="H172" s="95" t="e">
        <f>VLOOKUP(Table14[[#This Row],[FECHA /HORA]],TBL_CalcDarwin[],44,0)</f>
        <v>#N/A</v>
      </c>
      <c r="I172" s="95" t="e">
        <f>VLOOKUP(Table14[[#This Row],[FECHA /HORA]],TBL_CalcDarwin[],45,0)</f>
        <v>#N/A</v>
      </c>
      <c r="J172" s="53" t="e">
        <f>Table14[[#This Row],[MW Proyectada (Barra A)]]+Table14[[#This Row],[MW Proyectada (Barra B)]]</f>
        <v>#N/A</v>
      </c>
    </row>
    <row r="173" spans="2:10" x14ac:dyDescent="0.25">
      <c r="B173" s="91">
        <f>Table110[[#This Row],[Fecha]]</f>
        <v>45590.166666666257</v>
      </c>
      <c r="C173" s="52">
        <f>Table110[[#This Row],[Hora]]</f>
        <v>7.1666666666666829</v>
      </c>
      <c r="D173" s="92">
        <f>Table14[[#This Row],[Fecha]]</f>
        <v>45590.166666666257</v>
      </c>
      <c r="E173" s="53" t="e">
        <f>Table110[[#This Row],[Viento m/s]]</f>
        <v>#N/A</v>
      </c>
      <c r="F173" s="96" t="e">
        <f>VLOOKUP(Table14[[#This Row],[FECHA /HORA]],TBL_CalcDarwin[],46,0)</f>
        <v>#N/A</v>
      </c>
      <c r="G173" s="53" t="e">
        <f>VLOOKUP(Table14[[#This Row],[FECHA /HORA]],TBL_CalcDarwin[],47,0)</f>
        <v>#N/A</v>
      </c>
      <c r="H173" s="95" t="e">
        <f>VLOOKUP(Table14[[#This Row],[FECHA /HORA]],TBL_CalcDarwin[],44,0)</f>
        <v>#N/A</v>
      </c>
      <c r="I173" s="95" t="e">
        <f>VLOOKUP(Table14[[#This Row],[FECHA /HORA]],TBL_CalcDarwin[],45,0)</f>
        <v>#N/A</v>
      </c>
      <c r="J173" s="53" t="e">
        <f>Table14[[#This Row],[MW Proyectada (Barra A)]]+Table14[[#This Row],[MW Proyectada (Barra B)]]</f>
        <v>#N/A</v>
      </c>
    </row>
    <row r="174" spans="2:10" x14ac:dyDescent="0.25">
      <c r="B174" s="91">
        <f>Table110[[#This Row],[Fecha]]</f>
        <v>45590.208333332921</v>
      </c>
      <c r="C174" s="52">
        <f>Table110[[#This Row],[Hora]]</f>
        <v>7.2083333333333499</v>
      </c>
      <c r="D174" s="92">
        <f>Table14[[#This Row],[Fecha]]</f>
        <v>45590.208333332921</v>
      </c>
      <c r="E174" s="53" t="e">
        <f>Table110[[#This Row],[Viento m/s]]</f>
        <v>#N/A</v>
      </c>
      <c r="F174" s="96" t="e">
        <f>VLOOKUP(Table14[[#This Row],[FECHA /HORA]],TBL_CalcDarwin[],46,0)</f>
        <v>#N/A</v>
      </c>
      <c r="G174" s="53" t="e">
        <f>VLOOKUP(Table14[[#This Row],[FECHA /HORA]],TBL_CalcDarwin[],47,0)</f>
        <v>#N/A</v>
      </c>
      <c r="H174" s="95" t="e">
        <f>VLOOKUP(Table14[[#This Row],[FECHA /HORA]],TBL_CalcDarwin[],44,0)</f>
        <v>#N/A</v>
      </c>
      <c r="I174" s="95" t="e">
        <f>VLOOKUP(Table14[[#This Row],[FECHA /HORA]],TBL_CalcDarwin[],45,0)</f>
        <v>#N/A</v>
      </c>
      <c r="J174" s="53" t="e">
        <f>Table14[[#This Row],[MW Proyectada (Barra A)]]+Table14[[#This Row],[MW Proyectada (Barra B)]]</f>
        <v>#N/A</v>
      </c>
    </row>
    <row r="175" spans="2:10" x14ac:dyDescent="0.25">
      <c r="B175" s="91">
        <f>Table110[[#This Row],[Fecha]]</f>
        <v>45590.249999999585</v>
      </c>
      <c r="C175" s="52">
        <f>Table110[[#This Row],[Hora]]</f>
        <v>7.2500000000000169</v>
      </c>
      <c r="D175" s="92">
        <f>Table14[[#This Row],[Fecha]]</f>
        <v>45590.249999999585</v>
      </c>
      <c r="E175" s="53" t="e">
        <f>Table110[[#This Row],[Viento m/s]]</f>
        <v>#N/A</v>
      </c>
      <c r="F175" s="96" t="e">
        <f>VLOOKUP(Table14[[#This Row],[FECHA /HORA]],TBL_CalcDarwin[],46,0)</f>
        <v>#N/A</v>
      </c>
      <c r="G175" s="53" t="e">
        <f>VLOOKUP(Table14[[#This Row],[FECHA /HORA]],TBL_CalcDarwin[],47,0)</f>
        <v>#N/A</v>
      </c>
      <c r="H175" s="95" t="e">
        <f>VLOOKUP(Table14[[#This Row],[FECHA /HORA]],TBL_CalcDarwin[],44,0)</f>
        <v>#N/A</v>
      </c>
      <c r="I175" s="95" t="e">
        <f>VLOOKUP(Table14[[#This Row],[FECHA /HORA]],TBL_CalcDarwin[],45,0)</f>
        <v>#N/A</v>
      </c>
      <c r="J175" s="53" t="e">
        <f>Table14[[#This Row],[MW Proyectada (Barra A)]]+Table14[[#This Row],[MW Proyectada (Barra B)]]</f>
        <v>#N/A</v>
      </c>
    </row>
    <row r="176" spans="2:10" x14ac:dyDescent="0.25">
      <c r="B176" s="91">
        <f>Table110[[#This Row],[Fecha]]</f>
        <v>45590.29166666625</v>
      </c>
      <c r="C176" s="52">
        <f>Table110[[#This Row],[Hora]]</f>
        <v>7.2916666666666838</v>
      </c>
      <c r="D176" s="92">
        <f>Table14[[#This Row],[Fecha]]</f>
        <v>45590.29166666625</v>
      </c>
      <c r="E176" s="53" t="e">
        <f>Table110[[#This Row],[Viento m/s]]</f>
        <v>#N/A</v>
      </c>
      <c r="F176" s="96" t="e">
        <f>VLOOKUP(Table14[[#This Row],[FECHA /HORA]],TBL_CalcDarwin[],46,0)</f>
        <v>#N/A</v>
      </c>
      <c r="G176" s="53" t="e">
        <f>VLOOKUP(Table14[[#This Row],[FECHA /HORA]],TBL_CalcDarwin[],47,0)</f>
        <v>#N/A</v>
      </c>
      <c r="H176" s="95" t="e">
        <f>VLOOKUP(Table14[[#This Row],[FECHA /HORA]],TBL_CalcDarwin[],44,0)</f>
        <v>#N/A</v>
      </c>
      <c r="I176" s="95" t="e">
        <f>VLOOKUP(Table14[[#This Row],[FECHA /HORA]],TBL_CalcDarwin[],45,0)</f>
        <v>#N/A</v>
      </c>
      <c r="J176" s="53" t="e">
        <f>Table14[[#This Row],[MW Proyectada (Barra A)]]+Table14[[#This Row],[MW Proyectada (Barra B)]]</f>
        <v>#N/A</v>
      </c>
    </row>
    <row r="177" spans="2:10" x14ac:dyDescent="0.25">
      <c r="B177" s="91">
        <f>Table110[[#This Row],[Fecha]]</f>
        <v>45590.333333332914</v>
      </c>
      <c r="C177" s="52">
        <f>Table110[[#This Row],[Hora]]</f>
        <v>7.3333333333333508</v>
      </c>
      <c r="D177" s="92">
        <f>Table14[[#This Row],[Fecha]]</f>
        <v>45590.333333332914</v>
      </c>
      <c r="E177" s="53" t="e">
        <f>Table110[[#This Row],[Viento m/s]]</f>
        <v>#N/A</v>
      </c>
      <c r="F177" s="96" t="e">
        <f>VLOOKUP(Table14[[#This Row],[FECHA /HORA]],TBL_CalcDarwin[],46,0)</f>
        <v>#N/A</v>
      </c>
      <c r="G177" s="53" t="e">
        <f>VLOOKUP(Table14[[#This Row],[FECHA /HORA]],TBL_CalcDarwin[],47,0)</f>
        <v>#N/A</v>
      </c>
      <c r="H177" s="95" t="e">
        <f>VLOOKUP(Table14[[#This Row],[FECHA /HORA]],TBL_CalcDarwin[],44,0)</f>
        <v>#N/A</v>
      </c>
      <c r="I177" s="95" t="e">
        <f>VLOOKUP(Table14[[#This Row],[FECHA /HORA]],TBL_CalcDarwin[],45,0)</f>
        <v>#N/A</v>
      </c>
      <c r="J177" s="53" t="e">
        <f>Table14[[#This Row],[MW Proyectada (Barra A)]]+Table14[[#This Row],[MW Proyectada (Barra B)]]</f>
        <v>#N/A</v>
      </c>
    </row>
    <row r="178" spans="2:10" x14ac:dyDescent="0.25">
      <c r="B178" s="91">
        <f>Table110[[#This Row],[Fecha]]</f>
        <v>45590.374999999578</v>
      </c>
      <c r="C178" s="52">
        <f>Table110[[#This Row],[Hora]]</f>
        <v>7.3750000000000178</v>
      </c>
      <c r="D178" s="92">
        <f>Table14[[#This Row],[Fecha]]</f>
        <v>45590.374999999578</v>
      </c>
      <c r="E178" s="53" t="e">
        <f>Table110[[#This Row],[Viento m/s]]</f>
        <v>#N/A</v>
      </c>
      <c r="F178" s="96" t="e">
        <f>VLOOKUP(Table14[[#This Row],[FECHA /HORA]],TBL_CalcDarwin[],46,0)</f>
        <v>#N/A</v>
      </c>
      <c r="G178" s="53" t="e">
        <f>VLOOKUP(Table14[[#This Row],[FECHA /HORA]],TBL_CalcDarwin[],47,0)</f>
        <v>#N/A</v>
      </c>
      <c r="H178" s="95" t="e">
        <f>VLOOKUP(Table14[[#This Row],[FECHA /HORA]],TBL_CalcDarwin[],44,0)</f>
        <v>#N/A</v>
      </c>
      <c r="I178" s="95" t="e">
        <f>VLOOKUP(Table14[[#This Row],[FECHA /HORA]],TBL_CalcDarwin[],45,0)</f>
        <v>#N/A</v>
      </c>
      <c r="J178" s="53" t="e">
        <f>Table14[[#This Row],[MW Proyectada (Barra A)]]+Table14[[#This Row],[MW Proyectada (Barra B)]]</f>
        <v>#N/A</v>
      </c>
    </row>
    <row r="179" spans="2:10" x14ac:dyDescent="0.25">
      <c r="B179" s="91">
        <f>Table110[[#This Row],[Fecha]]</f>
        <v>45590.416666666242</v>
      </c>
      <c r="C179" s="52">
        <f>Table110[[#This Row],[Hora]]</f>
        <v>7.4166666666666847</v>
      </c>
      <c r="D179" s="92">
        <f>Table14[[#This Row],[Fecha]]</f>
        <v>45590.416666666242</v>
      </c>
      <c r="E179" s="53" t="e">
        <f>Table110[[#This Row],[Viento m/s]]</f>
        <v>#N/A</v>
      </c>
      <c r="F179" s="96" t="e">
        <f>VLOOKUP(Table14[[#This Row],[FECHA /HORA]],TBL_CalcDarwin[],46,0)</f>
        <v>#N/A</v>
      </c>
      <c r="G179" s="53" t="e">
        <f>VLOOKUP(Table14[[#This Row],[FECHA /HORA]],TBL_CalcDarwin[],47,0)</f>
        <v>#N/A</v>
      </c>
      <c r="H179" s="95" t="e">
        <f>VLOOKUP(Table14[[#This Row],[FECHA /HORA]],TBL_CalcDarwin[],44,0)</f>
        <v>#N/A</v>
      </c>
      <c r="I179" s="95" t="e">
        <f>VLOOKUP(Table14[[#This Row],[FECHA /HORA]],TBL_CalcDarwin[],45,0)</f>
        <v>#N/A</v>
      </c>
      <c r="J179" s="53" t="e">
        <f>Table14[[#This Row],[MW Proyectada (Barra A)]]+Table14[[#This Row],[MW Proyectada (Barra B)]]</f>
        <v>#N/A</v>
      </c>
    </row>
    <row r="180" spans="2:10" x14ac:dyDescent="0.25">
      <c r="B180" s="91">
        <f>Table110[[#This Row],[Fecha]]</f>
        <v>45590.458333332906</v>
      </c>
      <c r="C180" s="52">
        <f>Table110[[#This Row],[Hora]]</f>
        <v>7.4583333333333517</v>
      </c>
      <c r="D180" s="92">
        <f>Table14[[#This Row],[Fecha]]</f>
        <v>45590.458333332906</v>
      </c>
      <c r="E180" s="53" t="e">
        <f>Table110[[#This Row],[Viento m/s]]</f>
        <v>#N/A</v>
      </c>
      <c r="F180" s="96" t="e">
        <f>VLOOKUP(Table14[[#This Row],[FECHA /HORA]],TBL_CalcDarwin[],46,0)</f>
        <v>#N/A</v>
      </c>
      <c r="G180" s="53" t="e">
        <f>VLOOKUP(Table14[[#This Row],[FECHA /HORA]],TBL_CalcDarwin[],47,0)</f>
        <v>#N/A</v>
      </c>
      <c r="H180" s="95" t="e">
        <f>VLOOKUP(Table14[[#This Row],[FECHA /HORA]],TBL_CalcDarwin[],44,0)</f>
        <v>#N/A</v>
      </c>
      <c r="I180" s="95" t="e">
        <f>VLOOKUP(Table14[[#This Row],[FECHA /HORA]],TBL_CalcDarwin[],45,0)</f>
        <v>#N/A</v>
      </c>
      <c r="J180" s="53" t="e">
        <f>Table14[[#This Row],[MW Proyectada (Barra A)]]+Table14[[#This Row],[MW Proyectada (Barra B)]]</f>
        <v>#N/A</v>
      </c>
    </row>
    <row r="181" spans="2:10" x14ac:dyDescent="0.25">
      <c r="B181" s="91">
        <f>Table110[[#This Row],[Fecha]]</f>
        <v>45590.499999999571</v>
      </c>
      <c r="C181" s="52">
        <f>Table110[[#This Row],[Hora]]</f>
        <v>7.5000000000000187</v>
      </c>
      <c r="D181" s="92">
        <f>Table14[[#This Row],[Fecha]]</f>
        <v>45590.499999999571</v>
      </c>
      <c r="E181" s="53" t="e">
        <f>Table110[[#This Row],[Viento m/s]]</f>
        <v>#N/A</v>
      </c>
      <c r="F181" s="96" t="e">
        <f>VLOOKUP(Table14[[#This Row],[FECHA /HORA]],TBL_CalcDarwin[],46,0)</f>
        <v>#N/A</v>
      </c>
      <c r="G181" s="53" t="e">
        <f>VLOOKUP(Table14[[#This Row],[FECHA /HORA]],TBL_CalcDarwin[],47,0)</f>
        <v>#N/A</v>
      </c>
      <c r="H181" s="95" t="e">
        <f>VLOOKUP(Table14[[#This Row],[FECHA /HORA]],TBL_CalcDarwin[],44,0)</f>
        <v>#N/A</v>
      </c>
      <c r="I181" s="95" t="e">
        <f>VLOOKUP(Table14[[#This Row],[FECHA /HORA]],TBL_CalcDarwin[],45,0)</f>
        <v>#N/A</v>
      </c>
      <c r="J181" s="53" t="e">
        <f>Table14[[#This Row],[MW Proyectada (Barra A)]]+Table14[[#This Row],[MW Proyectada (Barra B)]]</f>
        <v>#N/A</v>
      </c>
    </row>
    <row r="182" spans="2:10" x14ac:dyDescent="0.25">
      <c r="B182" s="91">
        <f>Table110[[#This Row],[Fecha]]</f>
        <v>45590.541666666235</v>
      </c>
      <c r="C182" s="52">
        <f>Table110[[#This Row],[Hora]]</f>
        <v>7.5416666666666856</v>
      </c>
      <c r="D182" s="92">
        <f>Table14[[#This Row],[Fecha]]</f>
        <v>45590.541666666235</v>
      </c>
      <c r="E182" s="53" t="e">
        <f>Table110[[#This Row],[Viento m/s]]</f>
        <v>#N/A</v>
      </c>
      <c r="F182" s="96" t="e">
        <f>VLOOKUP(Table14[[#This Row],[FECHA /HORA]],TBL_CalcDarwin[],46,0)</f>
        <v>#N/A</v>
      </c>
      <c r="G182" s="53" t="e">
        <f>VLOOKUP(Table14[[#This Row],[FECHA /HORA]],TBL_CalcDarwin[],47,0)</f>
        <v>#N/A</v>
      </c>
      <c r="H182" s="95" t="e">
        <f>VLOOKUP(Table14[[#This Row],[FECHA /HORA]],TBL_CalcDarwin[],44,0)</f>
        <v>#N/A</v>
      </c>
      <c r="I182" s="95" t="e">
        <f>VLOOKUP(Table14[[#This Row],[FECHA /HORA]],TBL_CalcDarwin[],45,0)</f>
        <v>#N/A</v>
      </c>
      <c r="J182" s="53" t="e">
        <f>Table14[[#This Row],[MW Proyectada (Barra A)]]+Table14[[#This Row],[MW Proyectada (Barra B)]]</f>
        <v>#N/A</v>
      </c>
    </row>
    <row r="183" spans="2:10" x14ac:dyDescent="0.25">
      <c r="B183" s="91">
        <f>Table110[[#This Row],[Fecha]]</f>
        <v>45590.583333332899</v>
      </c>
      <c r="C183" s="52">
        <f>Table110[[#This Row],[Hora]]</f>
        <v>7.5833333333333526</v>
      </c>
      <c r="D183" s="92">
        <f>Table14[[#This Row],[Fecha]]</f>
        <v>45590.583333332899</v>
      </c>
      <c r="E183" s="53" t="e">
        <f>Table110[[#This Row],[Viento m/s]]</f>
        <v>#N/A</v>
      </c>
      <c r="F183" s="96" t="e">
        <f>VLOOKUP(Table14[[#This Row],[FECHA /HORA]],TBL_CalcDarwin[],46,0)</f>
        <v>#N/A</v>
      </c>
      <c r="G183" s="53" t="e">
        <f>VLOOKUP(Table14[[#This Row],[FECHA /HORA]],TBL_CalcDarwin[],47,0)</f>
        <v>#N/A</v>
      </c>
      <c r="H183" s="95" t="e">
        <f>VLOOKUP(Table14[[#This Row],[FECHA /HORA]],TBL_CalcDarwin[],44,0)</f>
        <v>#N/A</v>
      </c>
      <c r="I183" s="95" t="e">
        <f>VLOOKUP(Table14[[#This Row],[FECHA /HORA]],TBL_CalcDarwin[],45,0)</f>
        <v>#N/A</v>
      </c>
      <c r="J183" s="53" t="e">
        <f>Table14[[#This Row],[MW Proyectada (Barra A)]]+Table14[[#This Row],[MW Proyectada (Barra B)]]</f>
        <v>#N/A</v>
      </c>
    </row>
    <row r="184" spans="2:10" x14ac:dyDescent="0.25">
      <c r="B184" s="91">
        <f>Table110[[#This Row],[Fecha]]</f>
        <v>45590.624999999563</v>
      </c>
      <c r="C184" s="52">
        <f>Table110[[#This Row],[Hora]]</f>
        <v>7.6250000000000195</v>
      </c>
      <c r="D184" s="92">
        <f>Table14[[#This Row],[Fecha]]</f>
        <v>45590.624999999563</v>
      </c>
      <c r="E184" s="53" t="e">
        <f>Table110[[#This Row],[Viento m/s]]</f>
        <v>#N/A</v>
      </c>
      <c r="F184" s="96" t="e">
        <f>VLOOKUP(Table14[[#This Row],[FECHA /HORA]],TBL_CalcDarwin[],46,0)</f>
        <v>#N/A</v>
      </c>
      <c r="G184" s="53" t="e">
        <f>VLOOKUP(Table14[[#This Row],[FECHA /HORA]],TBL_CalcDarwin[],47,0)</f>
        <v>#N/A</v>
      </c>
      <c r="H184" s="95" t="e">
        <f>VLOOKUP(Table14[[#This Row],[FECHA /HORA]],TBL_CalcDarwin[],44,0)</f>
        <v>#N/A</v>
      </c>
      <c r="I184" s="95" t="e">
        <f>VLOOKUP(Table14[[#This Row],[FECHA /HORA]],TBL_CalcDarwin[],45,0)</f>
        <v>#N/A</v>
      </c>
      <c r="J184" s="53" t="e">
        <f>Table14[[#This Row],[MW Proyectada (Barra A)]]+Table14[[#This Row],[MW Proyectada (Barra B)]]</f>
        <v>#N/A</v>
      </c>
    </row>
    <row r="185" spans="2:10" x14ac:dyDescent="0.25">
      <c r="B185" s="91">
        <f>Table110[[#This Row],[Fecha]]</f>
        <v>45590.666666666228</v>
      </c>
      <c r="C185" s="52">
        <f>Table110[[#This Row],[Hora]]</f>
        <v>7.6666666666666865</v>
      </c>
      <c r="D185" s="92">
        <f>Table14[[#This Row],[Fecha]]</f>
        <v>45590.666666666228</v>
      </c>
      <c r="E185" s="53" t="e">
        <f>Table110[[#This Row],[Viento m/s]]</f>
        <v>#N/A</v>
      </c>
      <c r="F185" s="96" t="e">
        <f>VLOOKUP(Table14[[#This Row],[FECHA /HORA]],TBL_CalcDarwin[],46,0)</f>
        <v>#N/A</v>
      </c>
      <c r="G185" s="53" t="e">
        <f>VLOOKUP(Table14[[#This Row],[FECHA /HORA]],TBL_CalcDarwin[],47,0)</f>
        <v>#N/A</v>
      </c>
      <c r="H185" s="95" t="e">
        <f>VLOOKUP(Table14[[#This Row],[FECHA /HORA]],TBL_CalcDarwin[],44,0)</f>
        <v>#N/A</v>
      </c>
      <c r="I185" s="95" t="e">
        <f>VLOOKUP(Table14[[#This Row],[FECHA /HORA]],TBL_CalcDarwin[],45,0)</f>
        <v>#N/A</v>
      </c>
      <c r="J185" s="53" t="e">
        <f>Table14[[#This Row],[MW Proyectada (Barra A)]]+Table14[[#This Row],[MW Proyectada (Barra B)]]</f>
        <v>#N/A</v>
      </c>
    </row>
    <row r="186" spans="2:10" x14ac:dyDescent="0.25">
      <c r="B186" s="91">
        <f>Table110[[#This Row],[Fecha]]</f>
        <v>45590.708333332892</v>
      </c>
      <c r="C186" s="52">
        <f>Table110[[#This Row],[Hora]]</f>
        <v>7.7083333333333535</v>
      </c>
      <c r="D186" s="92">
        <f>Table14[[#This Row],[Fecha]]</f>
        <v>45590.708333332892</v>
      </c>
      <c r="E186" s="53" t="e">
        <f>Table110[[#This Row],[Viento m/s]]</f>
        <v>#N/A</v>
      </c>
      <c r="F186" s="96" t="e">
        <f>VLOOKUP(Table14[[#This Row],[FECHA /HORA]],TBL_CalcDarwin[],46,0)</f>
        <v>#N/A</v>
      </c>
      <c r="G186" s="53" t="e">
        <f>VLOOKUP(Table14[[#This Row],[FECHA /HORA]],TBL_CalcDarwin[],47,0)</f>
        <v>#N/A</v>
      </c>
      <c r="H186" s="95" t="e">
        <f>VLOOKUP(Table14[[#This Row],[FECHA /HORA]],TBL_CalcDarwin[],44,0)</f>
        <v>#N/A</v>
      </c>
      <c r="I186" s="95" t="e">
        <f>VLOOKUP(Table14[[#This Row],[FECHA /HORA]],TBL_CalcDarwin[],45,0)</f>
        <v>#N/A</v>
      </c>
      <c r="J186" s="53" t="e">
        <f>Table14[[#This Row],[MW Proyectada (Barra A)]]+Table14[[#This Row],[MW Proyectada (Barra B)]]</f>
        <v>#N/A</v>
      </c>
    </row>
    <row r="187" spans="2:10" x14ac:dyDescent="0.25">
      <c r="B187" s="91">
        <f>Table110[[#This Row],[Fecha]]</f>
        <v>45590.749999999556</v>
      </c>
      <c r="C187" s="52">
        <f>Table110[[#This Row],[Hora]]</f>
        <v>7.7500000000000204</v>
      </c>
      <c r="D187" s="92">
        <f>Table14[[#This Row],[Fecha]]</f>
        <v>45590.749999999556</v>
      </c>
      <c r="E187" s="53" t="e">
        <f>Table110[[#This Row],[Viento m/s]]</f>
        <v>#N/A</v>
      </c>
      <c r="F187" s="96" t="e">
        <f>VLOOKUP(Table14[[#This Row],[FECHA /HORA]],TBL_CalcDarwin[],46,0)</f>
        <v>#N/A</v>
      </c>
      <c r="G187" s="53" t="e">
        <f>VLOOKUP(Table14[[#This Row],[FECHA /HORA]],TBL_CalcDarwin[],47,0)</f>
        <v>#N/A</v>
      </c>
      <c r="H187" s="95" t="e">
        <f>VLOOKUP(Table14[[#This Row],[FECHA /HORA]],TBL_CalcDarwin[],44,0)</f>
        <v>#N/A</v>
      </c>
      <c r="I187" s="95" t="e">
        <f>VLOOKUP(Table14[[#This Row],[FECHA /HORA]],TBL_CalcDarwin[],45,0)</f>
        <v>#N/A</v>
      </c>
      <c r="J187" s="53" t="e">
        <f>Table14[[#This Row],[MW Proyectada (Barra A)]]+Table14[[#This Row],[MW Proyectada (Barra B)]]</f>
        <v>#N/A</v>
      </c>
    </row>
    <row r="188" spans="2:10" x14ac:dyDescent="0.25">
      <c r="B188" s="91">
        <f>Table110[[#This Row],[Fecha]]</f>
        <v>45590.79166666622</v>
      </c>
      <c r="C188" s="52">
        <f>Table110[[#This Row],[Hora]]</f>
        <v>7.7916666666666874</v>
      </c>
      <c r="D188" s="92">
        <f>Table14[[#This Row],[Fecha]]</f>
        <v>45590.79166666622</v>
      </c>
      <c r="E188" s="53" t="e">
        <f>Table110[[#This Row],[Viento m/s]]</f>
        <v>#N/A</v>
      </c>
      <c r="F188" s="96" t="e">
        <f>VLOOKUP(Table14[[#This Row],[FECHA /HORA]],TBL_CalcDarwin[],46,0)</f>
        <v>#N/A</v>
      </c>
      <c r="G188" s="53" t="e">
        <f>VLOOKUP(Table14[[#This Row],[FECHA /HORA]],TBL_CalcDarwin[],47,0)</f>
        <v>#N/A</v>
      </c>
      <c r="H188" s="95" t="e">
        <f>VLOOKUP(Table14[[#This Row],[FECHA /HORA]],TBL_CalcDarwin[],44,0)</f>
        <v>#N/A</v>
      </c>
      <c r="I188" s="95" t="e">
        <f>VLOOKUP(Table14[[#This Row],[FECHA /HORA]],TBL_CalcDarwin[],45,0)</f>
        <v>#N/A</v>
      </c>
      <c r="J188" s="53" t="e">
        <f>Table14[[#This Row],[MW Proyectada (Barra A)]]+Table14[[#This Row],[MW Proyectada (Barra B)]]</f>
        <v>#N/A</v>
      </c>
    </row>
    <row r="189" spans="2:10" x14ac:dyDescent="0.25">
      <c r="B189" s="91">
        <f>Table110[[#This Row],[Fecha]]</f>
        <v>45590.833333332885</v>
      </c>
      <c r="C189" s="52">
        <f>Table110[[#This Row],[Hora]]</f>
        <v>7.8333333333333544</v>
      </c>
      <c r="D189" s="92">
        <f>Table14[[#This Row],[Fecha]]</f>
        <v>45590.833333332885</v>
      </c>
      <c r="E189" s="53" t="e">
        <f>Table110[[#This Row],[Viento m/s]]</f>
        <v>#N/A</v>
      </c>
      <c r="F189" s="96" t="e">
        <f>VLOOKUP(Table14[[#This Row],[FECHA /HORA]],TBL_CalcDarwin[],46,0)</f>
        <v>#N/A</v>
      </c>
      <c r="G189" s="53" t="e">
        <f>VLOOKUP(Table14[[#This Row],[FECHA /HORA]],TBL_CalcDarwin[],47,0)</f>
        <v>#N/A</v>
      </c>
      <c r="H189" s="95" t="e">
        <f>VLOOKUP(Table14[[#This Row],[FECHA /HORA]],TBL_CalcDarwin[],44,0)</f>
        <v>#N/A</v>
      </c>
      <c r="I189" s="95" t="e">
        <f>VLOOKUP(Table14[[#This Row],[FECHA /HORA]],TBL_CalcDarwin[],45,0)</f>
        <v>#N/A</v>
      </c>
      <c r="J189" s="53" t="e">
        <f>Table14[[#This Row],[MW Proyectada (Barra A)]]+Table14[[#This Row],[MW Proyectada (Barra B)]]</f>
        <v>#N/A</v>
      </c>
    </row>
    <row r="190" spans="2:10" x14ac:dyDescent="0.25">
      <c r="B190" s="91">
        <f>Table110[[#This Row],[Fecha]]</f>
        <v>45590.874999999549</v>
      </c>
      <c r="C190" s="52">
        <f>Table110[[#This Row],[Hora]]</f>
        <v>7.8750000000000213</v>
      </c>
      <c r="D190" s="92">
        <f>Table14[[#This Row],[Fecha]]</f>
        <v>45590.874999999549</v>
      </c>
      <c r="E190" s="53" t="e">
        <f>Table110[[#This Row],[Viento m/s]]</f>
        <v>#N/A</v>
      </c>
      <c r="F190" s="96" t="e">
        <f>VLOOKUP(Table14[[#This Row],[FECHA /HORA]],TBL_CalcDarwin[],46,0)</f>
        <v>#N/A</v>
      </c>
      <c r="G190" s="53" t="e">
        <f>VLOOKUP(Table14[[#This Row],[FECHA /HORA]],TBL_CalcDarwin[],47,0)</f>
        <v>#N/A</v>
      </c>
      <c r="H190" s="95" t="e">
        <f>VLOOKUP(Table14[[#This Row],[FECHA /HORA]],TBL_CalcDarwin[],44,0)</f>
        <v>#N/A</v>
      </c>
      <c r="I190" s="95" t="e">
        <f>VLOOKUP(Table14[[#This Row],[FECHA /HORA]],TBL_CalcDarwin[],45,0)</f>
        <v>#N/A</v>
      </c>
      <c r="J190" s="53" t="e">
        <f>Table14[[#This Row],[MW Proyectada (Barra A)]]+Table14[[#This Row],[MW Proyectada (Barra B)]]</f>
        <v>#N/A</v>
      </c>
    </row>
    <row r="191" spans="2:10" x14ac:dyDescent="0.25">
      <c r="B191" s="91">
        <f>Table110[[#This Row],[Fecha]]</f>
        <v>45590.916666666213</v>
      </c>
      <c r="C191" s="52">
        <f>Table110[[#This Row],[Hora]]</f>
        <v>7.9166666666666883</v>
      </c>
      <c r="D191" s="92">
        <f>Table14[[#This Row],[Fecha]]</f>
        <v>45590.916666666213</v>
      </c>
      <c r="E191" s="53" t="e">
        <f>Table110[[#This Row],[Viento m/s]]</f>
        <v>#N/A</v>
      </c>
      <c r="F191" s="96" t="e">
        <f>VLOOKUP(Table14[[#This Row],[FECHA /HORA]],TBL_CalcDarwin[],46,0)</f>
        <v>#N/A</v>
      </c>
      <c r="G191" s="53" t="e">
        <f>VLOOKUP(Table14[[#This Row],[FECHA /HORA]],TBL_CalcDarwin[],47,0)</f>
        <v>#N/A</v>
      </c>
      <c r="H191" s="95" t="e">
        <f>VLOOKUP(Table14[[#This Row],[FECHA /HORA]],TBL_CalcDarwin[],44,0)</f>
        <v>#N/A</v>
      </c>
      <c r="I191" s="95" t="e">
        <f>VLOOKUP(Table14[[#This Row],[FECHA /HORA]],TBL_CalcDarwin[],45,0)</f>
        <v>#N/A</v>
      </c>
      <c r="J191" s="53" t="e">
        <f>Table14[[#This Row],[MW Proyectada (Barra A)]]+Table14[[#This Row],[MW Proyectada (Barra B)]]</f>
        <v>#N/A</v>
      </c>
    </row>
    <row r="192" spans="2:10" x14ac:dyDescent="0.25">
      <c r="B192" s="91">
        <f>Table110[[#This Row],[Fecha]]</f>
        <v>45590.958333332877</v>
      </c>
      <c r="C192" s="52">
        <f>Table110[[#This Row],[Hora]]</f>
        <v>7.9583333333333552</v>
      </c>
      <c r="D192" s="92">
        <f>Table14[[#This Row],[Fecha]]</f>
        <v>45590.958333332877</v>
      </c>
      <c r="E192" s="53" t="e">
        <f>Table110[[#This Row],[Viento m/s]]</f>
        <v>#N/A</v>
      </c>
      <c r="F192" s="96" t="e">
        <f>VLOOKUP(Table14[[#This Row],[FECHA /HORA]],TBL_CalcDarwin[],46,0)</f>
        <v>#N/A</v>
      </c>
      <c r="G192" s="53" t="e">
        <f>VLOOKUP(Table14[[#This Row],[FECHA /HORA]],TBL_CalcDarwin[],47,0)</f>
        <v>#N/A</v>
      </c>
      <c r="H192" s="95" t="e">
        <f>VLOOKUP(Table14[[#This Row],[FECHA /HORA]],TBL_CalcDarwin[],44,0)</f>
        <v>#N/A</v>
      </c>
      <c r="I192" s="95" t="e">
        <f>VLOOKUP(Table14[[#This Row],[FECHA /HORA]],TBL_CalcDarwin[],45,0)</f>
        <v>#N/A</v>
      </c>
      <c r="J192" s="53" t="e">
        <f>Table14[[#This Row],[MW Proyectada (Barra A)]]+Table14[[#This Row],[MW Proyectada (Barra B)]]</f>
        <v>#N/A</v>
      </c>
    </row>
    <row r="193" spans="2:10" x14ac:dyDescent="0.25">
      <c r="B193" s="91">
        <f>Table110[[#This Row],[Fecha]]</f>
        <v>45590.999999999542</v>
      </c>
      <c r="C193" s="52">
        <f>Table110[[#This Row],[Hora]]</f>
        <v>8.0000000000000213</v>
      </c>
      <c r="D193" s="92">
        <f>Table14[[#This Row],[Fecha]]</f>
        <v>45590.999999999542</v>
      </c>
      <c r="E193" s="53" t="e">
        <f>Table110[[#This Row],[Viento m/s]]</f>
        <v>#N/A</v>
      </c>
      <c r="F193" s="96" t="e">
        <f>VLOOKUP(Table14[[#This Row],[FECHA /HORA]],TBL_CalcDarwin[],46,0)</f>
        <v>#N/A</v>
      </c>
      <c r="G193" s="53" t="e">
        <f>VLOOKUP(Table14[[#This Row],[FECHA /HORA]],TBL_CalcDarwin[],47,0)</f>
        <v>#N/A</v>
      </c>
      <c r="H193" s="95" t="e">
        <f>VLOOKUP(Table14[[#This Row],[FECHA /HORA]],TBL_CalcDarwin[],44,0)</f>
        <v>#N/A</v>
      </c>
      <c r="I193" s="95" t="e">
        <f>VLOOKUP(Table14[[#This Row],[FECHA /HORA]],TBL_CalcDarwin[],45,0)</f>
        <v>#N/A</v>
      </c>
      <c r="J193" s="53" t="e">
        <f>Table14[[#This Row],[MW Proyectada (Barra A)]]+Table14[[#This Row],[MW Proyectada (Barra B)]]</f>
        <v>#N/A</v>
      </c>
    </row>
    <row r="194" spans="2:10" x14ac:dyDescent="0.25">
      <c r="B194" s="91">
        <f>Table110[[#This Row],[Fecha]]</f>
        <v>45591.041666666206</v>
      </c>
      <c r="C194" s="52">
        <f>Table110[[#This Row],[Hora]]</f>
        <v>8.0416666666666874</v>
      </c>
      <c r="D194" s="92">
        <f>Table14[[#This Row],[Fecha]]</f>
        <v>45591.041666666206</v>
      </c>
      <c r="E194" s="53" t="e">
        <f>Table110[[#This Row],[Viento m/s]]</f>
        <v>#N/A</v>
      </c>
      <c r="F194" s="97" t="e">
        <f>VLOOKUP(Table14[[#This Row],[FECHA /HORA]],TBL_CalcDarwin[],46,0)</f>
        <v>#N/A</v>
      </c>
      <c r="G194" s="53" t="e">
        <f>VLOOKUP(Table14[[#This Row],[FECHA /HORA]],TBL_CalcDarwin[],47,0)</f>
        <v>#N/A</v>
      </c>
      <c r="H194" s="95" t="e">
        <f>VLOOKUP(Table14[[#This Row],[FECHA /HORA]],TBL_CalcDarwin[],44,0)</f>
        <v>#N/A</v>
      </c>
      <c r="I194" s="95" t="e">
        <f>VLOOKUP(Table14[[#This Row],[FECHA /HORA]],TBL_CalcDarwin[],45,0)</f>
        <v>#N/A</v>
      </c>
      <c r="J194" s="53" t="e">
        <f>Table14[[#This Row],[MW Proyectada (Barra A)]]+Table14[[#This Row],[MW Proyectada (Barra B)]]</f>
        <v>#N/A</v>
      </c>
    </row>
    <row r="195" spans="2:10" x14ac:dyDescent="0.25">
      <c r="B195" s="91">
        <f>Table110[[#This Row],[Fecha]]</f>
        <v>45591.08333333287</v>
      </c>
      <c r="C195" s="52">
        <f>Table110[[#This Row],[Hora]]</f>
        <v>8.0833333333333535</v>
      </c>
      <c r="D195" s="92">
        <f>Table14[[#This Row],[Fecha]]</f>
        <v>45591.08333333287</v>
      </c>
      <c r="E195" s="53" t="e">
        <f>Table110[[#This Row],[Viento m/s]]</f>
        <v>#N/A</v>
      </c>
      <c r="F195" s="96" t="e">
        <f>VLOOKUP(Table14[[#This Row],[FECHA /HORA]],TBL_CalcDarwin[],46,0)</f>
        <v>#N/A</v>
      </c>
      <c r="G195" s="53" t="e">
        <f>VLOOKUP(Table14[[#This Row],[FECHA /HORA]],TBL_CalcDarwin[],47,0)</f>
        <v>#N/A</v>
      </c>
      <c r="H195" s="95" t="e">
        <f>VLOOKUP(Table14[[#This Row],[FECHA /HORA]],TBL_CalcDarwin[],44,0)</f>
        <v>#N/A</v>
      </c>
      <c r="I195" s="95" t="e">
        <f>VLOOKUP(Table14[[#This Row],[FECHA /HORA]],TBL_CalcDarwin[],45,0)</f>
        <v>#N/A</v>
      </c>
      <c r="J195" s="53" t="e">
        <f>Table14[[#This Row],[MW Proyectada (Barra A)]]+Table14[[#This Row],[MW Proyectada (Barra B)]]</f>
        <v>#N/A</v>
      </c>
    </row>
    <row r="196" spans="2:10" x14ac:dyDescent="0.25">
      <c r="B196" s="91">
        <f>Table110[[#This Row],[Fecha]]</f>
        <v>45591.124999999534</v>
      </c>
      <c r="C196" s="52">
        <f>Table110[[#This Row],[Hora]]</f>
        <v>8.1250000000000195</v>
      </c>
      <c r="D196" s="92">
        <f>Table14[[#This Row],[Fecha]]</f>
        <v>45591.124999999534</v>
      </c>
      <c r="E196" s="53" t="e">
        <f>Table110[[#This Row],[Viento m/s]]</f>
        <v>#N/A</v>
      </c>
      <c r="F196" s="96" t="e">
        <f>VLOOKUP(Table14[[#This Row],[FECHA /HORA]],TBL_CalcDarwin[],46,0)</f>
        <v>#N/A</v>
      </c>
      <c r="G196" s="53" t="e">
        <f>VLOOKUP(Table14[[#This Row],[FECHA /HORA]],TBL_CalcDarwin[],47,0)</f>
        <v>#N/A</v>
      </c>
      <c r="H196" s="95" t="e">
        <f>VLOOKUP(Table14[[#This Row],[FECHA /HORA]],TBL_CalcDarwin[],44,0)</f>
        <v>#N/A</v>
      </c>
      <c r="I196" s="95" t="e">
        <f>VLOOKUP(Table14[[#This Row],[FECHA /HORA]],TBL_CalcDarwin[],45,0)</f>
        <v>#N/A</v>
      </c>
      <c r="J196" s="53" t="e">
        <f>Table14[[#This Row],[MW Proyectada (Barra A)]]+Table14[[#This Row],[MW Proyectada (Barra B)]]</f>
        <v>#N/A</v>
      </c>
    </row>
    <row r="197" spans="2:10" x14ac:dyDescent="0.25">
      <c r="B197" s="91">
        <f>Table110[[#This Row],[Fecha]]</f>
        <v>45591.166666666199</v>
      </c>
      <c r="C197" s="52">
        <f>Table110[[#This Row],[Hora]]</f>
        <v>8.1666666666666856</v>
      </c>
      <c r="D197" s="92">
        <f>Table14[[#This Row],[Fecha]]</f>
        <v>45591.166666666199</v>
      </c>
      <c r="E197" s="53" t="e">
        <f>Table110[[#This Row],[Viento m/s]]</f>
        <v>#N/A</v>
      </c>
      <c r="F197" s="96" t="e">
        <f>VLOOKUP(Table14[[#This Row],[FECHA /HORA]],TBL_CalcDarwin[],46,0)</f>
        <v>#N/A</v>
      </c>
      <c r="G197" s="53" t="e">
        <f>VLOOKUP(Table14[[#This Row],[FECHA /HORA]],TBL_CalcDarwin[],47,0)</f>
        <v>#N/A</v>
      </c>
      <c r="H197" s="95" t="e">
        <f>VLOOKUP(Table14[[#This Row],[FECHA /HORA]],TBL_CalcDarwin[],44,0)</f>
        <v>#N/A</v>
      </c>
      <c r="I197" s="95" t="e">
        <f>VLOOKUP(Table14[[#This Row],[FECHA /HORA]],TBL_CalcDarwin[],45,0)</f>
        <v>#N/A</v>
      </c>
      <c r="J197" s="53" t="e">
        <f>Table14[[#This Row],[MW Proyectada (Barra A)]]+Table14[[#This Row],[MW Proyectada (Barra B)]]</f>
        <v>#N/A</v>
      </c>
    </row>
    <row r="198" spans="2:10" x14ac:dyDescent="0.25">
      <c r="B198" s="91">
        <f>Table110[[#This Row],[Fecha]]</f>
        <v>45591.208333332863</v>
      </c>
      <c r="C198" s="52">
        <f>Table110[[#This Row],[Hora]]</f>
        <v>8.2083333333333517</v>
      </c>
      <c r="D198" s="92">
        <f>Table14[[#This Row],[Fecha]]</f>
        <v>45591.208333332863</v>
      </c>
      <c r="E198" s="53" t="e">
        <f>Table110[[#This Row],[Viento m/s]]</f>
        <v>#N/A</v>
      </c>
      <c r="F198" s="96" t="e">
        <f>VLOOKUP(Table14[[#This Row],[FECHA /HORA]],TBL_CalcDarwin[],46,0)</f>
        <v>#N/A</v>
      </c>
      <c r="G198" s="53" t="e">
        <f>VLOOKUP(Table14[[#This Row],[FECHA /HORA]],TBL_CalcDarwin[],47,0)</f>
        <v>#N/A</v>
      </c>
      <c r="H198" s="95" t="e">
        <f>VLOOKUP(Table14[[#This Row],[FECHA /HORA]],TBL_CalcDarwin[],44,0)</f>
        <v>#N/A</v>
      </c>
      <c r="I198" s="95" t="e">
        <f>VLOOKUP(Table14[[#This Row],[FECHA /HORA]],TBL_CalcDarwin[],45,0)</f>
        <v>#N/A</v>
      </c>
      <c r="J198" s="53" t="e">
        <f>Table14[[#This Row],[MW Proyectada (Barra A)]]+Table14[[#This Row],[MW Proyectada (Barra B)]]</f>
        <v>#N/A</v>
      </c>
    </row>
    <row r="199" spans="2:10" x14ac:dyDescent="0.25">
      <c r="B199" s="91">
        <f>Table110[[#This Row],[Fecha]]</f>
        <v>45591.249999999527</v>
      </c>
      <c r="C199" s="52">
        <f>Table110[[#This Row],[Hora]]</f>
        <v>8.2500000000000178</v>
      </c>
      <c r="D199" s="92">
        <f>Table14[[#This Row],[Fecha]]</f>
        <v>45591.249999999527</v>
      </c>
      <c r="E199" s="53" t="e">
        <f>Table110[[#This Row],[Viento m/s]]</f>
        <v>#N/A</v>
      </c>
      <c r="F199" s="96" t="e">
        <f>VLOOKUP(Table14[[#This Row],[FECHA /HORA]],TBL_CalcDarwin[],46,0)</f>
        <v>#N/A</v>
      </c>
      <c r="G199" s="53" t="e">
        <f>VLOOKUP(Table14[[#This Row],[FECHA /HORA]],TBL_CalcDarwin[],47,0)</f>
        <v>#N/A</v>
      </c>
      <c r="H199" s="95" t="e">
        <f>VLOOKUP(Table14[[#This Row],[FECHA /HORA]],TBL_CalcDarwin[],44,0)</f>
        <v>#N/A</v>
      </c>
      <c r="I199" s="95" t="e">
        <f>VLOOKUP(Table14[[#This Row],[FECHA /HORA]],TBL_CalcDarwin[],45,0)</f>
        <v>#N/A</v>
      </c>
      <c r="J199" s="53" t="e">
        <f>Table14[[#This Row],[MW Proyectada (Barra A)]]+Table14[[#This Row],[MW Proyectada (Barra B)]]</f>
        <v>#N/A</v>
      </c>
    </row>
    <row r="200" spans="2:10" x14ac:dyDescent="0.25">
      <c r="B200" s="91">
        <f>Table110[[#This Row],[Fecha]]</f>
        <v>45591.291666666191</v>
      </c>
      <c r="C200" s="52">
        <f>Table110[[#This Row],[Hora]]</f>
        <v>8.2916666666666838</v>
      </c>
      <c r="D200" s="92">
        <f>Table14[[#This Row],[Fecha]]</f>
        <v>45591.291666666191</v>
      </c>
      <c r="E200" s="53" t="e">
        <f>Table110[[#This Row],[Viento m/s]]</f>
        <v>#N/A</v>
      </c>
      <c r="F200" s="96" t="e">
        <f>VLOOKUP(Table14[[#This Row],[FECHA /HORA]],TBL_CalcDarwin[],46,0)</f>
        <v>#N/A</v>
      </c>
      <c r="G200" s="53" t="e">
        <f>VLOOKUP(Table14[[#This Row],[FECHA /HORA]],TBL_CalcDarwin[],47,0)</f>
        <v>#N/A</v>
      </c>
      <c r="H200" s="95" t="e">
        <f>VLOOKUP(Table14[[#This Row],[FECHA /HORA]],TBL_CalcDarwin[],44,0)</f>
        <v>#N/A</v>
      </c>
      <c r="I200" s="95" t="e">
        <f>VLOOKUP(Table14[[#This Row],[FECHA /HORA]],TBL_CalcDarwin[],45,0)</f>
        <v>#N/A</v>
      </c>
      <c r="J200" s="53" t="e">
        <f>Table14[[#This Row],[MW Proyectada (Barra A)]]+Table14[[#This Row],[MW Proyectada (Barra B)]]</f>
        <v>#N/A</v>
      </c>
    </row>
    <row r="201" spans="2:10" x14ac:dyDescent="0.25">
      <c r="B201" s="91">
        <f>Table110[[#This Row],[Fecha]]</f>
        <v>45591.333333332856</v>
      </c>
      <c r="C201" s="52">
        <f>Table110[[#This Row],[Hora]]</f>
        <v>8.3333333333333499</v>
      </c>
      <c r="D201" s="92">
        <f>Table14[[#This Row],[Fecha]]</f>
        <v>45591.333333332856</v>
      </c>
      <c r="E201" s="53" t="e">
        <f>Table110[[#This Row],[Viento m/s]]</f>
        <v>#N/A</v>
      </c>
      <c r="F201" s="96" t="e">
        <f>VLOOKUP(Table14[[#This Row],[FECHA /HORA]],TBL_CalcDarwin[],46,0)</f>
        <v>#N/A</v>
      </c>
      <c r="G201" s="53" t="e">
        <f>VLOOKUP(Table14[[#This Row],[FECHA /HORA]],TBL_CalcDarwin[],47,0)</f>
        <v>#N/A</v>
      </c>
      <c r="H201" s="95" t="e">
        <f>VLOOKUP(Table14[[#This Row],[FECHA /HORA]],TBL_CalcDarwin[],44,0)</f>
        <v>#N/A</v>
      </c>
      <c r="I201" s="95" t="e">
        <f>VLOOKUP(Table14[[#This Row],[FECHA /HORA]],TBL_CalcDarwin[],45,0)</f>
        <v>#N/A</v>
      </c>
      <c r="J201" s="53" t="e">
        <f>Table14[[#This Row],[MW Proyectada (Barra A)]]+Table14[[#This Row],[MW Proyectada (Barra B)]]</f>
        <v>#N/A</v>
      </c>
    </row>
    <row r="202" spans="2:10" x14ac:dyDescent="0.25">
      <c r="B202" s="91">
        <f>Table110[[#This Row],[Fecha]]</f>
        <v>45591.37499999952</v>
      </c>
      <c r="C202" s="52">
        <f>Table110[[#This Row],[Hora]]</f>
        <v>8.375000000000016</v>
      </c>
      <c r="D202" s="92">
        <f>Table14[[#This Row],[Fecha]]</f>
        <v>45591.37499999952</v>
      </c>
      <c r="E202" s="53" t="e">
        <f>Table110[[#This Row],[Viento m/s]]</f>
        <v>#N/A</v>
      </c>
      <c r="F202" s="96" t="e">
        <f>VLOOKUP(Table14[[#This Row],[FECHA /HORA]],TBL_CalcDarwin[],46,0)</f>
        <v>#N/A</v>
      </c>
      <c r="G202" s="53" t="e">
        <f>VLOOKUP(Table14[[#This Row],[FECHA /HORA]],TBL_CalcDarwin[],47,0)</f>
        <v>#N/A</v>
      </c>
      <c r="H202" s="95" t="e">
        <f>VLOOKUP(Table14[[#This Row],[FECHA /HORA]],TBL_CalcDarwin[],44,0)</f>
        <v>#N/A</v>
      </c>
      <c r="I202" s="95" t="e">
        <f>VLOOKUP(Table14[[#This Row],[FECHA /HORA]],TBL_CalcDarwin[],45,0)</f>
        <v>#N/A</v>
      </c>
      <c r="J202" s="53" t="e">
        <f>Table14[[#This Row],[MW Proyectada (Barra A)]]+Table14[[#This Row],[MW Proyectada (Barra B)]]</f>
        <v>#N/A</v>
      </c>
    </row>
    <row r="203" spans="2:10" x14ac:dyDescent="0.25">
      <c r="B203" s="91">
        <f>Table110[[#This Row],[Fecha]]</f>
        <v>45591.416666666184</v>
      </c>
      <c r="C203" s="52">
        <f>Table110[[#This Row],[Hora]]</f>
        <v>8.4166666666666821</v>
      </c>
      <c r="D203" s="92">
        <f>Table14[[#This Row],[Fecha]]</f>
        <v>45591.416666666184</v>
      </c>
      <c r="E203" s="53" t="e">
        <f>Table110[[#This Row],[Viento m/s]]</f>
        <v>#N/A</v>
      </c>
      <c r="F203" s="96" t="e">
        <f>VLOOKUP(Table14[[#This Row],[FECHA /HORA]],TBL_CalcDarwin[],46,0)</f>
        <v>#N/A</v>
      </c>
      <c r="G203" s="53" t="e">
        <f>VLOOKUP(Table14[[#This Row],[FECHA /HORA]],TBL_CalcDarwin[],47,0)</f>
        <v>#N/A</v>
      </c>
      <c r="H203" s="95" t="e">
        <f>VLOOKUP(Table14[[#This Row],[FECHA /HORA]],TBL_CalcDarwin[],44,0)</f>
        <v>#N/A</v>
      </c>
      <c r="I203" s="95" t="e">
        <f>VLOOKUP(Table14[[#This Row],[FECHA /HORA]],TBL_CalcDarwin[],45,0)</f>
        <v>#N/A</v>
      </c>
      <c r="J203" s="53" t="e">
        <f>Table14[[#This Row],[MW Proyectada (Barra A)]]+Table14[[#This Row],[MW Proyectada (Barra B)]]</f>
        <v>#N/A</v>
      </c>
    </row>
    <row r="204" spans="2:10" x14ac:dyDescent="0.25">
      <c r="B204" s="91">
        <f>Table110[[#This Row],[Fecha]]</f>
        <v>45591.458333332848</v>
      </c>
      <c r="C204" s="52">
        <f>Table110[[#This Row],[Hora]]</f>
        <v>8.4583333333333481</v>
      </c>
      <c r="D204" s="92">
        <f>Table14[[#This Row],[Fecha]]</f>
        <v>45591.458333332848</v>
      </c>
      <c r="E204" s="53" t="e">
        <f>Table110[[#This Row],[Viento m/s]]</f>
        <v>#N/A</v>
      </c>
      <c r="F204" s="96" t="e">
        <f>VLOOKUP(Table14[[#This Row],[FECHA /HORA]],TBL_CalcDarwin[],46,0)</f>
        <v>#N/A</v>
      </c>
      <c r="G204" s="53" t="e">
        <f>VLOOKUP(Table14[[#This Row],[FECHA /HORA]],TBL_CalcDarwin[],47,0)</f>
        <v>#N/A</v>
      </c>
      <c r="H204" s="95" t="e">
        <f>VLOOKUP(Table14[[#This Row],[FECHA /HORA]],TBL_CalcDarwin[],44,0)</f>
        <v>#N/A</v>
      </c>
      <c r="I204" s="95" t="e">
        <f>VLOOKUP(Table14[[#This Row],[FECHA /HORA]],TBL_CalcDarwin[],45,0)</f>
        <v>#N/A</v>
      </c>
      <c r="J204" s="53" t="e">
        <f>Table14[[#This Row],[MW Proyectada (Barra A)]]+Table14[[#This Row],[MW Proyectada (Barra B)]]</f>
        <v>#N/A</v>
      </c>
    </row>
    <row r="205" spans="2:10" x14ac:dyDescent="0.25">
      <c r="B205" s="91">
        <f>Table110[[#This Row],[Fecha]]</f>
        <v>45591.499999999513</v>
      </c>
      <c r="C205" s="52">
        <f>Table110[[#This Row],[Hora]]</f>
        <v>8.5000000000000142</v>
      </c>
      <c r="D205" s="92">
        <f>Table14[[#This Row],[Fecha]]</f>
        <v>45591.499999999513</v>
      </c>
      <c r="E205" s="53" t="e">
        <f>Table110[[#This Row],[Viento m/s]]</f>
        <v>#N/A</v>
      </c>
      <c r="F205" s="96" t="e">
        <f>VLOOKUP(Table14[[#This Row],[FECHA /HORA]],TBL_CalcDarwin[],46,0)</f>
        <v>#N/A</v>
      </c>
      <c r="G205" s="53" t="e">
        <f>VLOOKUP(Table14[[#This Row],[FECHA /HORA]],TBL_CalcDarwin[],47,0)</f>
        <v>#N/A</v>
      </c>
      <c r="H205" s="95" t="e">
        <f>VLOOKUP(Table14[[#This Row],[FECHA /HORA]],TBL_CalcDarwin[],44,0)</f>
        <v>#N/A</v>
      </c>
      <c r="I205" s="95" t="e">
        <f>VLOOKUP(Table14[[#This Row],[FECHA /HORA]],TBL_CalcDarwin[],45,0)</f>
        <v>#N/A</v>
      </c>
      <c r="J205" s="53" t="e">
        <f>Table14[[#This Row],[MW Proyectada (Barra A)]]+Table14[[#This Row],[MW Proyectada (Barra B)]]</f>
        <v>#N/A</v>
      </c>
    </row>
    <row r="206" spans="2:10" x14ac:dyDescent="0.25">
      <c r="B206" s="91">
        <f>Table110[[#This Row],[Fecha]]</f>
        <v>45591.541666666177</v>
      </c>
      <c r="C206" s="52">
        <f>Table110[[#This Row],[Hora]]</f>
        <v>8.5416666666666803</v>
      </c>
      <c r="D206" s="92">
        <f>Table14[[#This Row],[Fecha]]</f>
        <v>45591.541666666177</v>
      </c>
      <c r="E206" s="53" t="e">
        <f>Table110[[#This Row],[Viento m/s]]</f>
        <v>#N/A</v>
      </c>
      <c r="F206" s="96" t="e">
        <f>VLOOKUP(Table14[[#This Row],[FECHA /HORA]],TBL_CalcDarwin[],46,0)</f>
        <v>#N/A</v>
      </c>
      <c r="G206" s="53" t="e">
        <f>VLOOKUP(Table14[[#This Row],[FECHA /HORA]],TBL_CalcDarwin[],47,0)</f>
        <v>#N/A</v>
      </c>
      <c r="H206" s="95" t="e">
        <f>VLOOKUP(Table14[[#This Row],[FECHA /HORA]],TBL_CalcDarwin[],44,0)</f>
        <v>#N/A</v>
      </c>
      <c r="I206" s="95" t="e">
        <f>VLOOKUP(Table14[[#This Row],[FECHA /HORA]],TBL_CalcDarwin[],45,0)</f>
        <v>#N/A</v>
      </c>
      <c r="J206" s="53" t="e">
        <f>Table14[[#This Row],[MW Proyectada (Barra A)]]+Table14[[#This Row],[MW Proyectada (Barra B)]]</f>
        <v>#N/A</v>
      </c>
    </row>
    <row r="207" spans="2:10" x14ac:dyDescent="0.25">
      <c r="B207" s="91">
        <f>Table110[[#This Row],[Fecha]]</f>
        <v>45591.583333332841</v>
      </c>
      <c r="C207" s="52">
        <f>Table110[[#This Row],[Hora]]</f>
        <v>8.5833333333333464</v>
      </c>
      <c r="D207" s="92">
        <f>Table14[[#This Row],[Fecha]]</f>
        <v>45591.583333332841</v>
      </c>
      <c r="E207" s="53" t="e">
        <f>Table110[[#This Row],[Viento m/s]]</f>
        <v>#N/A</v>
      </c>
      <c r="F207" s="96" t="e">
        <f>VLOOKUP(Table14[[#This Row],[FECHA /HORA]],TBL_CalcDarwin[],46,0)</f>
        <v>#N/A</v>
      </c>
      <c r="G207" s="53" t="e">
        <f>VLOOKUP(Table14[[#This Row],[FECHA /HORA]],TBL_CalcDarwin[],47,0)</f>
        <v>#N/A</v>
      </c>
      <c r="H207" s="95" t="e">
        <f>VLOOKUP(Table14[[#This Row],[FECHA /HORA]],TBL_CalcDarwin[],44,0)</f>
        <v>#N/A</v>
      </c>
      <c r="I207" s="95" t="e">
        <f>VLOOKUP(Table14[[#This Row],[FECHA /HORA]],TBL_CalcDarwin[],45,0)</f>
        <v>#N/A</v>
      </c>
      <c r="J207" s="53" t="e">
        <f>Table14[[#This Row],[MW Proyectada (Barra A)]]+Table14[[#This Row],[MW Proyectada (Barra B)]]</f>
        <v>#N/A</v>
      </c>
    </row>
    <row r="208" spans="2:10" x14ac:dyDescent="0.25">
      <c r="B208" s="91">
        <f>Table110[[#This Row],[Fecha]]</f>
        <v>45591.624999999505</v>
      </c>
      <c r="C208" s="52">
        <f>Table110[[#This Row],[Hora]]</f>
        <v>8.6250000000000124</v>
      </c>
      <c r="D208" s="92">
        <f>Table14[[#This Row],[Fecha]]</f>
        <v>45591.624999999505</v>
      </c>
      <c r="E208" s="53" t="e">
        <f>Table110[[#This Row],[Viento m/s]]</f>
        <v>#N/A</v>
      </c>
      <c r="F208" s="96" t="e">
        <f>VLOOKUP(Table14[[#This Row],[FECHA /HORA]],TBL_CalcDarwin[],46,0)</f>
        <v>#N/A</v>
      </c>
      <c r="G208" s="53" t="e">
        <f>VLOOKUP(Table14[[#This Row],[FECHA /HORA]],TBL_CalcDarwin[],47,0)</f>
        <v>#N/A</v>
      </c>
      <c r="H208" s="95" t="e">
        <f>VLOOKUP(Table14[[#This Row],[FECHA /HORA]],TBL_CalcDarwin[],44,0)</f>
        <v>#N/A</v>
      </c>
      <c r="I208" s="95" t="e">
        <f>VLOOKUP(Table14[[#This Row],[FECHA /HORA]],TBL_CalcDarwin[],45,0)</f>
        <v>#N/A</v>
      </c>
      <c r="J208" s="53" t="e">
        <f>Table14[[#This Row],[MW Proyectada (Barra A)]]+Table14[[#This Row],[MW Proyectada (Barra B)]]</f>
        <v>#N/A</v>
      </c>
    </row>
    <row r="209" spans="2:10" x14ac:dyDescent="0.25">
      <c r="B209" s="91">
        <f>Table110[[#This Row],[Fecha]]</f>
        <v>45591.666666666169</v>
      </c>
      <c r="C209" s="52">
        <f>Table110[[#This Row],[Hora]]</f>
        <v>8.6666666666666785</v>
      </c>
      <c r="D209" s="92">
        <f>Table14[[#This Row],[Fecha]]</f>
        <v>45591.666666666169</v>
      </c>
      <c r="E209" s="53" t="e">
        <f>Table110[[#This Row],[Viento m/s]]</f>
        <v>#N/A</v>
      </c>
      <c r="F209" s="96" t="e">
        <f>VLOOKUP(Table14[[#This Row],[FECHA /HORA]],TBL_CalcDarwin[],46,0)</f>
        <v>#N/A</v>
      </c>
      <c r="G209" s="53" t="e">
        <f>VLOOKUP(Table14[[#This Row],[FECHA /HORA]],TBL_CalcDarwin[],47,0)</f>
        <v>#N/A</v>
      </c>
      <c r="H209" s="95" t="e">
        <f>VLOOKUP(Table14[[#This Row],[FECHA /HORA]],TBL_CalcDarwin[],44,0)</f>
        <v>#N/A</v>
      </c>
      <c r="I209" s="95" t="e">
        <f>VLOOKUP(Table14[[#This Row],[FECHA /HORA]],TBL_CalcDarwin[],45,0)</f>
        <v>#N/A</v>
      </c>
      <c r="J209" s="53" t="e">
        <f>Table14[[#This Row],[MW Proyectada (Barra A)]]+Table14[[#This Row],[MW Proyectada (Barra B)]]</f>
        <v>#N/A</v>
      </c>
    </row>
    <row r="210" spans="2:10" x14ac:dyDescent="0.25">
      <c r="B210" s="91">
        <f>Table110[[#This Row],[Fecha]]</f>
        <v>45591.708333332834</v>
      </c>
      <c r="C210" s="52">
        <f>Table110[[#This Row],[Hora]]</f>
        <v>8.7083333333333446</v>
      </c>
      <c r="D210" s="92">
        <f>Table14[[#This Row],[Fecha]]</f>
        <v>45591.708333332834</v>
      </c>
      <c r="E210" s="53" t="e">
        <f>Table110[[#This Row],[Viento m/s]]</f>
        <v>#N/A</v>
      </c>
      <c r="F210" s="96" t="e">
        <f>VLOOKUP(Table14[[#This Row],[FECHA /HORA]],TBL_CalcDarwin[],46,0)</f>
        <v>#N/A</v>
      </c>
      <c r="G210" s="53" t="e">
        <f>VLOOKUP(Table14[[#This Row],[FECHA /HORA]],TBL_CalcDarwin[],47,0)</f>
        <v>#N/A</v>
      </c>
      <c r="H210" s="95" t="e">
        <f>VLOOKUP(Table14[[#This Row],[FECHA /HORA]],TBL_CalcDarwin[],44,0)</f>
        <v>#N/A</v>
      </c>
      <c r="I210" s="95" t="e">
        <f>VLOOKUP(Table14[[#This Row],[FECHA /HORA]],TBL_CalcDarwin[],45,0)</f>
        <v>#N/A</v>
      </c>
      <c r="J210" s="53" t="e">
        <f>Table14[[#This Row],[MW Proyectada (Barra A)]]+Table14[[#This Row],[MW Proyectada (Barra B)]]</f>
        <v>#N/A</v>
      </c>
    </row>
    <row r="211" spans="2:10" x14ac:dyDescent="0.25">
      <c r="B211" s="91">
        <f>Table110[[#This Row],[Fecha]]</f>
        <v>45591.749999999498</v>
      </c>
      <c r="C211" s="52">
        <f>Table110[[#This Row],[Hora]]</f>
        <v>8.7500000000000107</v>
      </c>
      <c r="D211" s="92">
        <f>Table14[[#This Row],[Fecha]]</f>
        <v>45591.749999999498</v>
      </c>
      <c r="E211" s="53" t="e">
        <f>Table110[[#This Row],[Viento m/s]]</f>
        <v>#N/A</v>
      </c>
      <c r="F211" s="96" t="e">
        <f>VLOOKUP(Table14[[#This Row],[FECHA /HORA]],TBL_CalcDarwin[],46,0)</f>
        <v>#N/A</v>
      </c>
      <c r="G211" s="53" t="e">
        <f>VLOOKUP(Table14[[#This Row],[FECHA /HORA]],TBL_CalcDarwin[],47,0)</f>
        <v>#N/A</v>
      </c>
      <c r="H211" s="95" t="e">
        <f>VLOOKUP(Table14[[#This Row],[FECHA /HORA]],TBL_CalcDarwin[],44,0)</f>
        <v>#N/A</v>
      </c>
      <c r="I211" s="95" t="e">
        <f>VLOOKUP(Table14[[#This Row],[FECHA /HORA]],TBL_CalcDarwin[],45,0)</f>
        <v>#N/A</v>
      </c>
      <c r="J211" s="53" t="e">
        <f>Table14[[#This Row],[MW Proyectada (Barra A)]]+Table14[[#This Row],[MW Proyectada (Barra B)]]</f>
        <v>#N/A</v>
      </c>
    </row>
    <row r="212" spans="2:10" x14ac:dyDescent="0.25">
      <c r="B212" s="91">
        <f>Table110[[#This Row],[Fecha]]</f>
        <v>45591.791666666162</v>
      </c>
      <c r="C212" s="52">
        <f>Table110[[#This Row],[Hora]]</f>
        <v>8.7916666666666767</v>
      </c>
      <c r="D212" s="92">
        <f>Table14[[#This Row],[Fecha]]</f>
        <v>45591.791666666162</v>
      </c>
      <c r="E212" s="53" t="e">
        <f>Table110[[#This Row],[Viento m/s]]</f>
        <v>#N/A</v>
      </c>
      <c r="F212" s="96" t="e">
        <f>VLOOKUP(Table14[[#This Row],[FECHA /HORA]],TBL_CalcDarwin[],46,0)</f>
        <v>#N/A</v>
      </c>
      <c r="G212" s="53" t="e">
        <f>VLOOKUP(Table14[[#This Row],[FECHA /HORA]],TBL_CalcDarwin[],47,0)</f>
        <v>#N/A</v>
      </c>
      <c r="H212" s="95" t="e">
        <f>VLOOKUP(Table14[[#This Row],[FECHA /HORA]],TBL_CalcDarwin[],44,0)</f>
        <v>#N/A</v>
      </c>
      <c r="I212" s="95" t="e">
        <f>VLOOKUP(Table14[[#This Row],[FECHA /HORA]],TBL_CalcDarwin[],45,0)</f>
        <v>#N/A</v>
      </c>
      <c r="J212" s="53" t="e">
        <f>Table14[[#This Row],[MW Proyectada (Barra A)]]+Table14[[#This Row],[MW Proyectada (Barra B)]]</f>
        <v>#N/A</v>
      </c>
    </row>
    <row r="213" spans="2:10" x14ac:dyDescent="0.25">
      <c r="B213" s="91">
        <f>Table110[[#This Row],[Fecha]]</f>
        <v>45591.833333332826</v>
      </c>
      <c r="C213" s="52">
        <f>Table110[[#This Row],[Hora]]</f>
        <v>8.8333333333333428</v>
      </c>
      <c r="D213" s="92">
        <f>Table14[[#This Row],[Fecha]]</f>
        <v>45591.833333332826</v>
      </c>
      <c r="E213" s="53" t="e">
        <f>Table110[[#This Row],[Viento m/s]]</f>
        <v>#N/A</v>
      </c>
      <c r="F213" s="96" t="e">
        <f>VLOOKUP(Table14[[#This Row],[FECHA /HORA]],TBL_CalcDarwin[],46,0)</f>
        <v>#N/A</v>
      </c>
      <c r="G213" s="53" t="e">
        <f>VLOOKUP(Table14[[#This Row],[FECHA /HORA]],TBL_CalcDarwin[],47,0)</f>
        <v>#N/A</v>
      </c>
      <c r="H213" s="95" t="e">
        <f>VLOOKUP(Table14[[#This Row],[FECHA /HORA]],TBL_CalcDarwin[],44,0)</f>
        <v>#N/A</v>
      </c>
      <c r="I213" s="95" t="e">
        <f>VLOOKUP(Table14[[#This Row],[FECHA /HORA]],TBL_CalcDarwin[],45,0)</f>
        <v>#N/A</v>
      </c>
      <c r="J213" s="53" t="e">
        <f>Table14[[#This Row],[MW Proyectada (Barra A)]]+Table14[[#This Row],[MW Proyectada (Barra B)]]</f>
        <v>#N/A</v>
      </c>
    </row>
    <row r="214" spans="2:10" x14ac:dyDescent="0.25">
      <c r="B214" s="91">
        <f>Table110[[#This Row],[Fecha]]</f>
        <v>45591.874999999491</v>
      </c>
      <c r="C214" s="52">
        <f>Table110[[#This Row],[Hora]]</f>
        <v>8.8750000000000089</v>
      </c>
      <c r="D214" s="92">
        <f>Table14[[#This Row],[Fecha]]</f>
        <v>45591.874999999491</v>
      </c>
      <c r="E214" s="53" t="e">
        <f>Table110[[#This Row],[Viento m/s]]</f>
        <v>#N/A</v>
      </c>
      <c r="F214" s="96" t="e">
        <f>VLOOKUP(Table14[[#This Row],[FECHA /HORA]],TBL_CalcDarwin[],46,0)</f>
        <v>#N/A</v>
      </c>
      <c r="G214" s="53" t="e">
        <f>VLOOKUP(Table14[[#This Row],[FECHA /HORA]],TBL_CalcDarwin[],47,0)</f>
        <v>#N/A</v>
      </c>
      <c r="H214" s="95" t="e">
        <f>VLOOKUP(Table14[[#This Row],[FECHA /HORA]],TBL_CalcDarwin[],44,0)</f>
        <v>#N/A</v>
      </c>
      <c r="I214" s="95" t="e">
        <f>VLOOKUP(Table14[[#This Row],[FECHA /HORA]],TBL_CalcDarwin[],45,0)</f>
        <v>#N/A</v>
      </c>
      <c r="J214" s="53" t="e">
        <f>Table14[[#This Row],[MW Proyectada (Barra A)]]+Table14[[#This Row],[MW Proyectada (Barra B)]]</f>
        <v>#N/A</v>
      </c>
    </row>
    <row r="215" spans="2:10" x14ac:dyDescent="0.25">
      <c r="B215" s="91">
        <f>Table110[[#This Row],[Fecha]]</f>
        <v>45591.916666666155</v>
      </c>
      <c r="C215" s="52">
        <f>Table110[[#This Row],[Hora]]</f>
        <v>8.916666666666675</v>
      </c>
      <c r="D215" s="92">
        <f>Table14[[#This Row],[Fecha]]</f>
        <v>45591.916666666155</v>
      </c>
      <c r="E215" s="53" t="e">
        <f>Table110[[#This Row],[Viento m/s]]</f>
        <v>#N/A</v>
      </c>
      <c r="F215" s="96" t="e">
        <f>VLOOKUP(Table14[[#This Row],[FECHA /HORA]],TBL_CalcDarwin[],46,0)</f>
        <v>#N/A</v>
      </c>
      <c r="G215" s="53" t="e">
        <f>VLOOKUP(Table14[[#This Row],[FECHA /HORA]],TBL_CalcDarwin[],47,0)</f>
        <v>#N/A</v>
      </c>
      <c r="H215" s="95" t="e">
        <f>VLOOKUP(Table14[[#This Row],[FECHA /HORA]],TBL_CalcDarwin[],44,0)</f>
        <v>#N/A</v>
      </c>
      <c r="I215" s="95" t="e">
        <f>VLOOKUP(Table14[[#This Row],[FECHA /HORA]],TBL_CalcDarwin[],45,0)</f>
        <v>#N/A</v>
      </c>
      <c r="J215" s="53" t="e">
        <f>Table14[[#This Row],[MW Proyectada (Barra A)]]+Table14[[#This Row],[MW Proyectada (Barra B)]]</f>
        <v>#N/A</v>
      </c>
    </row>
    <row r="216" spans="2:10" x14ac:dyDescent="0.25">
      <c r="B216" s="91">
        <f>Table110[[#This Row],[Fecha]]</f>
        <v>45591.958333332819</v>
      </c>
      <c r="C216" s="52">
        <f>Table110[[#This Row],[Hora]]</f>
        <v>8.958333333333341</v>
      </c>
      <c r="D216" s="92">
        <f>Table14[[#This Row],[Fecha]]</f>
        <v>45591.958333332819</v>
      </c>
      <c r="E216" s="53" t="e">
        <f>Table110[[#This Row],[Viento m/s]]</f>
        <v>#N/A</v>
      </c>
      <c r="F216" s="96" t="e">
        <f>VLOOKUP(Table14[[#This Row],[FECHA /HORA]],TBL_CalcDarwin[],46,0)</f>
        <v>#N/A</v>
      </c>
      <c r="G216" s="53" t="e">
        <f>VLOOKUP(Table14[[#This Row],[FECHA /HORA]],TBL_CalcDarwin[],47,0)</f>
        <v>#N/A</v>
      </c>
      <c r="H216" s="95" t="e">
        <f>VLOOKUP(Table14[[#This Row],[FECHA /HORA]],TBL_CalcDarwin[],44,0)</f>
        <v>#N/A</v>
      </c>
      <c r="I216" s="95" t="e">
        <f>VLOOKUP(Table14[[#This Row],[FECHA /HORA]],TBL_CalcDarwin[],45,0)</f>
        <v>#N/A</v>
      </c>
      <c r="J216" s="53" t="e">
        <f>Table14[[#This Row],[MW Proyectada (Barra A)]]+Table14[[#This Row],[MW Proyectada (Barra B)]]</f>
        <v>#N/A</v>
      </c>
    </row>
    <row r="217" spans="2:10" x14ac:dyDescent="0.25">
      <c r="B217" s="91">
        <f>Table110[[#This Row],[Fecha]]</f>
        <v>45591.999999999483</v>
      </c>
      <c r="C217" s="52">
        <f>Table110[[#This Row],[Hora]]</f>
        <v>9.0000000000000071</v>
      </c>
      <c r="D217" s="92">
        <f>Table14[[#This Row],[Fecha]]</f>
        <v>45591.999999999483</v>
      </c>
      <c r="E217" s="53" t="e">
        <f>Table110[[#This Row],[Viento m/s]]</f>
        <v>#N/A</v>
      </c>
      <c r="F217" s="96" t="e">
        <f>VLOOKUP(Table14[[#This Row],[FECHA /HORA]],TBL_CalcDarwin[],46,0)</f>
        <v>#N/A</v>
      </c>
      <c r="G217" s="53" t="e">
        <f>VLOOKUP(Table14[[#This Row],[FECHA /HORA]],TBL_CalcDarwin[],47,0)</f>
        <v>#N/A</v>
      </c>
      <c r="H217" s="95" t="e">
        <f>VLOOKUP(Table14[[#This Row],[FECHA /HORA]],TBL_CalcDarwin[],44,0)</f>
        <v>#N/A</v>
      </c>
      <c r="I217" s="95" t="e">
        <f>VLOOKUP(Table14[[#This Row],[FECHA /HORA]],TBL_CalcDarwin[],45,0)</f>
        <v>#N/A</v>
      </c>
      <c r="J217" s="53" t="e">
        <f>Table14[[#This Row],[MW Proyectada (Barra A)]]+Table14[[#This Row],[MW Proyectada (Barra B)]]</f>
        <v>#N/A</v>
      </c>
    </row>
    <row r="218" spans="2:10" x14ac:dyDescent="0.25">
      <c r="B218" s="91">
        <f>Table110[[#This Row],[Fecha]]</f>
        <v>45592.041666666148</v>
      </c>
      <c r="C218" s="52">
        <f>Table110[[#This Row],[Hora]]</f>
        <v>9.0416666666666732</v>
      </c>
      <c r="D218" s="92">
        <f>Table14[[#This Row],[Fecha]]</f>
        <v>45592.041666666148</v>
      </c>
      <c r="E218" s="53" t="e">
        <f>Table110[[#This Row],[Viento m/s]]</f>
        <v>#N/A</v>
      </c>
      <c r="F218" s="96" t="e">
        <f>VLOOKUP(Table14[[#This Row],[FECHA /HORA]],TBL_CalcDarwin[],46,0)</f>
        <v>#N/A</v>
      </c>
      <c r="G218" s="53" t="e">
        <f>VLOOKUP(Table14[[#This Row],[FECHA /HORA]],TBL_CalcDarwin[],47,0)</f>
        <v>#N/A</v>
      </c>
      <c r="H218" s="95" t="e">
        <f>VLOOKUP(Table14[[#This Row],[FECHA /HORA]],TBL_CalcDarwin[],44,0)</f>
        <v>#N/A</v>
      </c>
      <c r="I218" s="95" t="e">
        <f>VLOOKUP(Table14[[#This Row],[FECHA /HORA]],TBL_CalcDarwin[],45,0)</f>
        <v>#N/A</v>
      </c>
      <c r="J218" s="53" t="e">
        <f>Table14[[#This Row],[MW Proyectada (Barra A)]]+Table14[[#This Row],[MW Proyectada (Barra B)]]</f>
        <v>#N/A</v>
      </c>
    </row>
    <row r="219" spans="2:10" x14ac:dyDescent="0.25">
      <c r="B219" s="91">
        <f>Table110[[#This Row],[Fecha]]</f>
        <v>45592.083333332812</v>
      </c>
      <c r="C219" s="52">
        <f>Table110[[#This Row],[Hora]]</f>
        <v>9.0833333333333393</v>
      </c>
      <c r="D219" s="92">
        <f>Table14[[#This Row],[Fecha]]</f>
        <v>45592.083333332812</v>
      </c>
      <c r="E219" s="53" t="e">
        <f>Table110[[#This Row],[Viento m/s]]</f>
        <v>#N/A</v>
      </c>
      <c r="F219" s="96" t="e">
        <f>VLOOKUP(Table14[[#This Row],[FECHA /HORA]],TBL_CalcDarwin[],46,0)</f>
        <v>#N/A</v>
      </c>
      <c r="G219" s="53" t="e">
        <f>VLOOKUP(Table14[[#This Row],[FECHA /HORA]],TBL_CalcDarwin[],47,0)</f>
        <v>#N/A</v>
      </c>
      <c r="H219" s="95" t="e">
        <f>VLOOKUP(Table14[[#This Row],[FECHA /HORA]],TBL_CalcDarwin[],44,0)</f>
        <v>#N/A</v>
      </c>
      <c r="I219" s="95" t="e">
        <f>VLOOKUP(Table14[[#This Row],[FECHA /HORA]],TBL_CalcDarwin[],45,0)</f>
        <v>#N/A</v>
      </c>
      <c r="J219" s="53" t="e">
        <f>Table14[[#This Row],[MW Proyectada (Barra A)]]+Table14[[#This Row],[MW Proyectada (Barra B)]]</f>
        <v>#N/A</v>
      </c>
    </row>
    <row r="220" spans="2:10" x14ac:dyDescent="0.25">
      <c r="B220" s="91">
        <f>Table110[[#This Row],[Fecha]]</f>
        <v>45592.124999999476</v>
      </c>
      <c r="C220" s="52">
        <f>Table110[[#This Row],[Hora]]</f>
        <v>9.1250000000000053</v>
      </c>
      <c r="D220" s="92">
        <f>Table14[[#This Row],[Fecha]]</f>
        <v>45592.124999999476</v>
      </c>
      <c r="E220" s="53" t="e">
        <f>Table110[[#This Row],[Viento m/s]]</f>
        <v>#N/A</v>
      </c>
      <c r="F220" s="96" t="e">
        <f>VLOOKUP(Table14[[#This Row],[FECHA /HORA]],TBL_CalcDarwin[],46,0)</f>
        <v>#N/A</v>
      </c>
      <c r="G220" s="53" t="e">
        <f>VLOOKUP(Table14[[#This Row],[FECHA /HORA]],TBL_CalcDarwin[],47,0)</f>
        <v>#N/A</v>
      </c>
      <c r="H220" s="95" t="e">
        <f>VLOOKUP(Table14[[#This Row],[FECHA /HORA]],TBL_CalcDarwin[],44,0)</f>
        <v>#N/A</v>
      </c>
      <c r="I220" s="95" t="e">
        <f>VLOOKUP(Table14[[#This Row],[FECHA /HORA]],TBL_CalcDarwin[],45,0)</f>
        <v>#N/A</v>
      </c>
      <c r="J220" s="53" t="e">
        <f>Table14[[#This Row],[MW Proyectada (Barra A)]]+Table14[[#This Row],[MW Proyectada (Barra B)]]</f>
        <v>#N/A</v>
      </c>
    </row>
    <row r="221" spans="2:10" x14ac:dyDescent="0.25">
      <c r="B221" s="91">
        <f>Table110[[#This Row],[Fecha]]</f>
        <v>45592.16666666614</v>
      </c>
      <c r="C221" s="52">
        <f>Table110[[#This Row],[Hora]]</f>
        <v>9.1666666666666714</v>
      </c>
      <c r="D221" s="92">
        <f>Table14[[#This Row],[Fecha]]</f>
        <v>45592.16666666614</v>
      </c>
      <c r="E221" s="53" t="e">
        <f>Table110[[#This Row],[Viento m/s]]</f>
        <v>#N/A</v>
      </c>
      <c r="F221" s="96" t="e">
        <f>VLOOKUP(Table14[[#This Row],[FECHA /HORA]],TBL_CalcDarwin[],46,0)</f>
        <v>#N/A</v>
      </c>
      <c r="G221" s="53" t="e">
        <f>VLOOKUP(Table14[[#This Row],[FECHA /HORA]],TBL_CalcDarwin[],47,0)</f>
        <v>#N/A</v>
      </c>
      <c r="H221" s="95" t="e">
        <f>VLOOKUP(Table14[[#This Row],[FECHA /HORA]],TBL_CalcDarwin[],44,0)</f>
        <v>#N/A</v>
      </c>
      <c r="I221" s="95" t="e">
        <f>VLOOKUP(Table14[[#This Row],[FECHA /HORA]],TBL_CalcDarwin[],45,0)</f>
        <v>#N/A</v>
      </c>
      <c r="J221" s="53" t="e">
        <f>Table14[[#This Row],[MW Proyectada (Barra A)]]+Table14[[#This Row],[MW Proyectada (Barra B)]]</f>
        <v>#N/A</v>
      </c>
    </row>
    <row r="222" spans="2:10" x14ac:dyDescent="0.25">
      <c r="B222" s="91">
        <f>Table110[[#This Row],[Fecha]]</f>
        <v>45592.208333332805</v>
      </c>
      <c r="C222" s="52">
        <f>Table110[[#This Row],[Hora]]</f>
        <v>9.2083333333333375</v>
      </c>
      <c r="D222" s="92">
        <f>Table14[[#This Row],[Fecha]]</f>
        <v>45592.208333332805</v>
      </c>
      <c r="E222" s="53" t="e">
        <f>Table110[[#This Row],[Viento m/s]]</f>
        <v>#N/A</v>
      </c>
      <c r="F222" s="96" t="e">
        <f>VLOOKUP(Table14[[#This Row],[FECHA /HORA]],TBL_CalcDarwin[],46,0)</f>
        <v>#N/A</v>
      </c>
      <c r="G222" s="53" t="e">
        <f>VLOOKUP(Table14[[#This Row],[FECHA /HORA]],TBL_CalcDarwin[],47,0)</f>
        <v>#N/A</v>
      </c>
      <c r="H222" s="95" t="e">
        <f>VLOOKUP(Table14[[#This Row],[FECHA /HORA]],TBL_CalcDarwin[],44,0)</f>
        <v>#N/A</v>
      </c>
      <c r="I222" s="95" t="e">
        <f>VLOOKUP(Table14[[#This Row],[FECHA /HORA]],TBL_CalcDarwin[],45,0)</f>
        <v>#N/A</v>
      </c>
      <c r="J222" s="53" t="e">
        <f>Table14[[#This Row],[MW Proyectada (Barra A)]]+Table14[[#This Row],[MW Proyectada (Barra B)]]</f>
        <v>#N/A</v>
      </c>
    </row>
    <row r="223" spans="2:10" x14ac:dyDescent="0.25">
      <c r="B223" s="91">
        <f>Table110[[#This Row],[Fecha]]</f>
        <v>45592.249999999469</v>
      </c>
      <c r="C223" s="52">
        <f>Table110[[#This Row],[Hora]]</f>
        <v>9.2500000000000036</v>
      </c>
      <c r="D223" s="92">
        <f>Table14[[#This Row],[Fecha]]</f>
        <v>45592.249999999469</v>
      </c>
      <c r="E223" s="53" t="e">
        <f>Table110[[#This Row],[Viento m/s]]</f>
        <v>#N/A</v>
      </c>
      <c r="F223" s="96" t="e">
        <f>VLOOKUP(Table14[[#This Row],[FECHA /HORA]],TBL_CalcDarwin[],46,0)</f>
        <v>#N/A</v>
      </c>
      <c r="G223" s="53" t="e">
        <f>VLOOKUP(Table14[[#This Row],[FECHA /HORA]],TBL_CalcDarwin[],47,0)</f>
        <v>#N/A</v>
      </c>
      <c r="H223" s="95" t="e">
        <f>VLOOKUP(Table14[[#This Row],[FECHA /HORA]],TBL_CalcDarwin[],44,0)</f>
        <v>#N/A</v>
      </c>
      <c r="I223" s="95" t="e">
        <f>VLOOKUP(Table14[[#This Row],[FECHA /HORA]],TBL_CalcDarwin[],45,0)</f>
        <v>#N/A</v>
      </c>
      <c r="J223" s="53" t="e">
        <f>Table14[[#This Row],[MW Proyectada (Barra A)]]+Table14[[#This Row],[MW Proyectada (Barra B)]]</f>
        <v>#N/A</v>
      </c>
    </row>
    <row r="224" spans="2:10" x14ac:dyDescent="0.25">
      <c r="B224" s="91">
        <f>Table110[[#This Row],[Fecha]]</f>
        <v>45592.291666666133</v>
      </c>
      <c r="C224" s="52">
        <f>Table110[[#This Row],[Hora]]</f>
        <v>9.2916666666666696</v>
      </c>
      <c r="D224" s="92">
        <f>Table14[[#This Row],[Fecha]]</f>
        <v>45592.291666666133</v>
      </c>
      <c r="E224" s="53" t="e">
        <f>Table110[[#This Row],[Viento m/s]]</f>
        <v>#N/A</v>
      </c>
      <c r="F224" s="96" t="e">
        <f>VLOOKUP(Table14[[#This Row],[FECHA /HORA]],TBL_CalcDarwin[],46,0)</f>
        <v>#N/A</v>
      </c>
      <c r="G224" s="53" t="e">
        <f>VLOOKUP(Table14[[#This Row],[FECHA /HORA]],TBL_CalcDarwin[],47,0)</f>
        <v>#N/A</v>
      </c>
      <c r="H224" s="95" t="e">
        <f>VLOOKUP(Table14[[#This Row],[FECHA /HORA]],TBL_CalcDarwin[],44,0)</f>
        <v>#N/A</v>
      </c>
      <c r="I224" s="95" t="e">
        <f>VLOOKUP(Table14[[#This Row],[FECHA /HORA]],TBL_CalcDarwin[],45,0)</f>
        <v>#N/A</v>
      </c>
      <c r="J224" s="53" t="e">
        <f>Table14[[#This Row],[MW Proyectada (Barra A)]]+Table14[[#This Row],[MW Proyectada (Barra B)]]</f>
        <v>#N/A</v>
      </c>
    </row>
    <row r="225" spans="2:10" x14ac:dyDescent="0.25">
      <c r="B225" s="91">
        <f>Table110[[#This Row],[Fecha]]</f>
        <v>45592.333333332797</v>
      </c>
      <c r="C225" s="52">
        <f>Table110[[#This Row],[Hora]]</f>
        <v>9.3333333333333357</v>
      </c>
      <c r="D225" s="92">
        <f>Table14[[#This Row],[Fecha]]</f>
        <v>45592.333333332797</v>
      </c>
      <c r="E225" s="53" t="e">
        <f>Table110[[#This Row],[Viento m/s]]</f>
        <v>#N/A</v>
      </c>
      <c r="F225" s="96" t="e">
        <f>VLOOKUP(Table14[[#This Row],[FECHA /HORA]],TBL_CalcDarwin[],46,0)</f>
        <v>#N/A</v>
      </c>
      <c r="G225" s="53" t="e">
        <f>VLOOKUP(Table14[[#This Row],[FECHA /HORA]],TBL_CalcDarwin[],47,0)</f>
        <v>#N/A</v>
      </c>
      <c r="H225" s="95" t="e">
        <f>VLOOKUP(Table14[[#This Row],[FECHA /HORA]],TBL_CalcDarwin[],44,0)</f>
        <v>#N/A</v>
      </c>
      <c r="I225" s="95" t="e">
        <f>VLOOKUP(Table14[[#This Row],[FECHA /HORA]],TBL_CalcDarwin[],45,0)</f>
        <v>#N/A</v>
      </c>
      <c r="J225" s="53" t="e">
        <f>Table14[[#This Row],[MW Proyectada (Barra A)]]+Table14[[#This Row],[MW Proyectada (Barra B)]]</f>
        <v>#N/A</v>
      </c>
    </row>
    <row r="226" spans="2:10" x14ac:dyDescent="0.25">
      <c r="B226" s="91">
        <f>Table110[[#This Row],[Fecha]]</f>
        <v>45592.374999999462</v>
      </c>
      <c r="C226" s="52">
        <f>Table110[[#This Row],[Hora]]</f>
        <v>9.3750000000000018</v>
      </c>
      <c r="D226" s="92">
        <f>Table14[[#This Row],[Fecha]]</f>
        <v>45592.374999999462</v>
      </c>
      <c r="E226" s="53" t="e">
        <f>Table110[[#This Row],[Viento m/s]]</f>
        <v>#N/A</v>
      </c>
      <c r="F226" s="96" t="e">
        <f>VLOOKUP(Table14[[#This Row],[FECHA /HORA]],TBL_CalcDarwin[],46,0)</f>
        <v>#N/A</v>
      </c>
      <c r="G226" s="53" t="e">
        <f>VLOOKUP(Table14[[#This Row],[FECHA /HORA]],TBL_CalcDarwin[],47,0)</f>
        <v>#N/A</v>
      </c>
      <c r="H226" s="95" t="e">
        <f>VLOOKUP(Table14[[#This Row],[FECHA /HORA]],TBL_CalcDarwin[],44,0)</f>
        <v>#N/A</v>
      </c>
      <c r="I226" s="95" t="e">
        <f>VLOOKUP(Table14[[#This Row],[FECHA /HORA]],TBL_CalcDarwin[],45,0)</f>
        <v>#N/A</v>
      </c>
      <c r="J226" s="53" t="e">
        <f>Table14[[#This Row],[MW Proyectada (Barra A)]]+Table14[[#This Row],[MW Proyectada (Barra B)]]</f>
        <v>#N/A</v>
      </c>
    </row>
    <row r="227" spans="2:10" x14ac:dyDescent="0.25">
      <c r="B227" s="91">
        <f>Table110[[#This Row],[Fecha]]</f>
        <v>45592.416666666126</v>
      </c>
      <c r="C227" s="52">
        <f>Table110[[#This Row],[Hora]]</f>
        <v>9.4166666666666679</v>
      </c>
      <c r="D227" s="92">
        <f>Table14[[#This Row],[Fecha]]</f>
        <v>45592.416666666126</v>
      </c>
      <c r="E227" s="53" t="e">
        <f>Table110[[#This Row],[Viento m/s]]</f>
        <v>#N/A</v>
      </c>
      <c r="F227" s="96" t="e">
        <f>VLOOKUP(Table14[[#This Row],[FECHA /HORA]],TBL_CalcDarwin[],46,0)</f>
        <v>#N/A</v>
      </c>
      <c r="G227" s="53" t="e">
        <f>VLOOKUP(Table14[[#This Row],[FECHA /HORA]],TBL_CalcDarwin[],47,0)</f>
        <v>#N/A</v>
      </c>
      <c r="H227" s="95" t="e">
        <f>VLOOKUP(Table14[[#This Row],[FECHA /HORA]],TBL_CalcDarwin[],44,0)</f>
        <v>#N/A</v>
      </c>
      <c r="I227" s="95" t="e">
        <f>VLOOKUP(Table14[[#This Row],[FECHA /HORA]],TBL_CalcDarwin[],45,0)</f>
        <v>#N/A</v>
      </c>
      <c r="J227" s="53" t="e">
        <f>Table14[[#This Row],[MW Proyectada (Barra A)]]+Table14[[#This Row],[MW Proyectada (Barra B)]]</f>
        <v>#N/A</v>
      </c>
    </row>
    <row r="228" spans="2:10" x14ac:dyDescent="0.25">
      <c r="B228" s="91">
        <f>Table110[[#This Row],[Fecha]]</f>
        <v>45592.45833333279</v>
      </c>
      <c r="C228" s="52">
        <f>Table110[[#This Row],[Hora]]</f>
        <v>9.4583333333333339</v>
      </c>
      <c r="D228" s="92">
        <f>Table14[[#This Row],[Fecha]]</f>
        <v>45592.45833333279</v>
      </c>
      <c r="E228" s="53" t="e">
        <f>Table110[[#This Row],[Viento m/s]]</f>
        <v>#N/A</v>
      </c>
      <c r="F228" s="96" t="e">
        <f>VLOOKUP(Table14[[#This Row],[FECHA /HORA]],TBL_CalcDarwin[],46,0)</f>
        <v>#N/A</v>
      </c>
      <c r="G228" s="53" t="e">
        <f>VLOOKUP(Table14[[#This Row],[FECHA /HORA]],TBL_CalcDarwin[],47,0)</f>
        <v>#N/A</v>
      </c>
      <c r="H228" s="95" t="e">
        <f>VLOOKUP(Table14[[#This Row],[FECHA /HORA]],TBL_CalcDarwin[],44,0)</f>
        <v>#N/A</v>
      </c>
      <c r="I228" s="95" t="e">
        <f>VLOOKUP(Table14[[#This Row],[FECHA /HORA]],TBL_CalcDarwin[],45,0)</f>
        <v>#N/A</v>
      </c>
      <c r="J228" s="53" t="e">
        <f>Table14[[#This Row],[MW Proyectada (Barra A)]]+Table14[[#This Row],[MW Proyectada (Barra B)]]</f>
        <v>#N/A</v>
      </c>
    </row>
  </sheetData>
  <pageMargins left="0.7" right="0.7" top="0.75" bottom="0.75" header="0.3" footer="0.3"/>
  <customProperties>
    <customPr name="_pios_id" r:id="rId1"/>
  </customProperties>
  <tableParts count="1">
    <tablePart r:id="rId2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10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14" baseType="lpstr">
      <vt:lpstr>PC</vt:lpstr>
      <vt:lpstr>Plantilla Datos</vt:lpstr>
      <vt:lpstr>Plantilla AEG ES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PE Punta Lomitas</vt:lpstr>
      <vt:lpstr>DIAGRAMA PLOME 10d</vt:lpstr>
      <vt:lpstr>Data_Darwin</vt:lpstr>
      <vt:lpstr>Data_Wind_Scada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TORRES Ronald (ENGIE Energía Perú S.A.)</cp:lastModifiedBy>
  <dcterms:created xsi:type="dcterms:W3CDTF">2023-05-09T14:33:27Z</dcterms:created>
  <dcterms:modified xsi:type="dcterms:W3CDTF">2024-10-19T05:03:10Z</dcterms:modified>
</cp:coreProperties>
</file>