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29 Planta Punta Lomitas\Reporte para COES PLOM\01 Ejecutado y Predicción diario Viento y Potencia\2024\05 Mayo\20240531\"/>
    </mc:Choice>
  </mc:AlternateContent>
  <xr:revisionPtr revIDLastSave="0" documentId="8_{511D9DE7-1C3D-468A-8DBE-3C793F80039F}" xr6:coauthVersionLast="36" xr6:coauthVersionMax="36" xr10:uidLastSave="{00000000-0000-0000-0000-000000000000}"/>
  <bookViews>
    <workbookView xWindow="-105" yWindow="-105" windowWidth="23250" windowHeight="12570" tabRatio="830" firstSheet="1" activeTab="1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1" i="1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N10" i="11"/>
  <c r="C2" i="7"/>
  <c r="B2" i="7"/>
  <c r="B4" i="7" s="1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C3" i="14"/>
  <c r="B3" i="13"/>
  <c r="C3" i="13"/>
  <c r="B4" i="13" l="1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G4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I10" i="11" l="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/>
  <c r="D54" i="13"/>
  <c r="B54" i="14"/>
  <c r="D54" i="14" s="1"/>
  <c r="B55" i="13"/>
  <c r="AX17" i="8"/>
  <c r="B52" i="7" l="1"/>
  <c r="C54" i="13"/>
  <c r="C54" i="14"/>
  <c r="D55" i="13"/>
  <c r="B55" i="14"/>
  <c r="D55" i="14" s="1"/>
  <c r="B56" i="13"/>
  <c r="AY17" i="8"/>
  <c r="B53" i="7" l="1"/>
  <c r="C55" i="13"/>
  <c r="C55" i="14"/>
  <c r="D56" i="13"/>
  <c r="B56" i="14"/>
  <c r="D56" i="14" s="1"/>
  <c r="B57" i="13"/>
  <c r="AZ17" i="8"/>
  <c r="B54" i="7" l="1"/>
  <c r="C56" i="13"/>
  <c r="C56" i="14"/>
  <c r="D57" i="13"/>
  <c r="B57" i="14"/>
  <c r="D57" i="14" s="1"/>
  <c r="B58" i="13"/>
  <c r="BA17" i="8"/>
  <c r="B55" i="7" l="1"/>
  <c r="C57" i="13"/>
  <c r="C57" i="14"/>
  <c r="D58" i="13"/>
  <c r="B58" i="14"/>
  <c r="D58" i="14" s="1"/>
  <c r="B59" i="13"/>
  <c r="BB17" i="8"/>
  <c r="B56" i="7" l="1"/>
  <c r="C58" i="13"/>
  <c r="C58" i="14"/>
  <c r="D59" i="13"/>
  <c r="B59" i="14"/>
  <c r="D59" i="14" s="1"/>
  <c r="B60" i="13"/>
  <c r="BC17" i="8"/>
  <c r="B57" i="7" l="1"/>
  <c r="C59" i="13"/>
  <c r="C59" i="14"/>
  <c r="D60" i="13"/>
  <c r="B60" i="14"/>
  <c r="D60" i="14" s="1"/>
  <c r="B61" i="13"/>
  <c r="BD17" i="8"/>
  <c r="B58" i="7" l="1"/>
  <c r="C60" i="13"/>
  <c r="C60" i="14"/>
  <c r="D61" i="13"/>
  <c r="B61" i="14"/>
  <c r="D61" i="14" s="1"/>
  <c r="B62" i="13"/>
  <c r="BE17" i="8"/>
  <c r="B59" i="7" l="1"/>
  <c r="C61" i="13"/>
  <c r="C61" i="14"/>
  <c r="D62" i="13"/>
  <c r="B62" i="14"/>
  <c r="D62" i="14" s="1"/>
  <c r="B63" i="13"/>
  <c r="BF17" i="8"/>
  <c r="B60" i="7" l="1"/>
  <c r="C62" i="13"/>
  <c r="C62" i="14"/>
  <c r="D63" i="13"/>
  <c r="B63" i="14"/>
  <c r="D63" i="14" s="1"/>
  <c r="B64" i="13"/>
  <c r="BG17" i="8"/>
  <c r="B61" i="7" l="1"/>
  <c r="C63" i="13"/>
  <c r="C63" i="14"/>
  <c r="D64" i="13"/>
  <c r="B64" i="14"/>
  <c r="D64" i="14" s="1"/>
  <c r="B65" i="13"/>
  <c r="BH17" i="8"/>
  <c r="B62" i="7" l="1"/>
  <c r="C64" i="13"/>
  <c r="C64" i="14"/>
  <c r="D65" i="13"/>
  <c r="B65" i="14"/>
  <c r="D65" i="14" s="1"/>
  <c r="B66" i="13"/>
  <c r="BI17" i="8"/>
  <c r="B63" i="7" l="1"/>
  <c r="C65" i="13"/>
  <c r="C65" i="14"/>
  <c r="D66" i="13"/>
  <c r="B66" i="14"/>
  <c r="D66" i="14" s="1"/>
  <c r="B67" i="13"/>
  <c r="BJ17" i="8"/>
  <c r="B64" i="7" l="1"/>
  <c r="C66" i="13"/>
  <c r="C66" i="14"/>
  <c r="D67" i="13"/>
  <c r="B67" i="14"/>
  <c r="D67" i="14" s="1"/>
  <c r="B68" i="13"/>
  <c r="BK17" i="8"/>
  <c r="B65" i="7" l="1"/>
  <c r="C67" i="13"/>
  <c r="C67" i="14"/>
  <c r="D68" i="13"/>
  <c r="B68" i="14"/>
  <c r="D68" i="14" s="1"/>
  <c r="B69" i="13"/>
  <c r="BL17" i="8"/>
  <c r="B66" i="7" l="1"/>
  <c r="C68" i="13"/>
  <c r="C68" i="14"/>
  <c r="D69" i="13"/>
  <c r="B69" i="14"/>
  <c r="D69" i="14" s="1"/>
  <c r="B70" i="13"/>
  <c r="BM17" i="8"/>
  <c r="B67" i="7" l="1"/>
  <c r="C69" i="13"/>
  <c r="C69" i="14"/>
  <c r="D70" i="13"/>
  <c r="B70" i="14"/>
  <c r="D70" i="14" s="1"/>
  <c r="B71" i="13"/>
  <c r="BN17" i="8"/>
  <c r="B68" i="7" l="1"/>
  <c r="C70" i="13"/>
  <c r="C70" i="14"/>
  <c r="D71" i="13"/>
  <c r="B71" i="14"/>
  <c r="D71" i="14" s="1"/>
  <c r="B72" i="13"/>
  <c r="BO17" i="8"/>
  <c r="B69" i="7" l="1"/>
  <c r="C71" i="13"/>
  <c r="C71" i="14"/>
  <c r="D72" i="13"/>
  <c r="B72" i="14"/>
  <c r="D72" i="14" s="1"/>
  <c r="B73" i="13"/>
  <c r="BP17" i="8"/>
  <c r="B70" i="7" l="1"/>
  <c r="C72" i="13"/>
  <c r="C72" i="14"/>
  <c r="D73" i="13"/>
  <c r="B73" i="14"/>
  <c r="D73" i="14" s="1"/>
  <c r="B74" i="13"/>
  <c r="BQ17" i="8"/>
  <c r="B71" i="7" l="1"/>
  <c r="C73" i="13"/>
  <c r="C73" i="14"/>
  <c r="D74" i="13"/>
  <c r="B74" i="14"/>
  <c r="D74" i="14" s="1"/>
  <c r="B75" i="13"/>
  <c r="BR17" i="8"/>
  <c r="B72" i="7" l="1"/>
  <c r="C74" i="13"/>
  <c r="C74" i="14"/>
  <c r="D75" i="13"/>
  <c r="B75" i="14"/>
  <c r="D75" i="14" s="1"/>
  <c r="B76" i="13"/>
  <c r="BS17" i="8"/>
  <c r="B73" i="7" l="1"/>
  <c r="C75" i="13"/>
  <c r="C75" i="14"/>
  <c r="D76" i="13"/>
  <c r="B76" i="14"/>
  <c r="D76" i="14" s="1"/>
  <c r="B77" i="13"/>
  <c r="BT17" i="8"/>
  <c r="B74" i="7" l="1"/>
  <c r="C76" i="13"/>
  <c r="C76" i="14"/>
  <c r="D77" i="13"/>
  <c r="B77" i="14"/>
  <c r="D77" i="14" s="1"/>
  <c r="B78" i="13"/>
  <c r="BU17" i="8"/>
  <c r="B75" i="7" l="1"/>
  <c r="C77" i="13"/>
  <c r="C77" i="14"/>
  <c r="D78" i="13"/>
  <c r="B78" i="14"/>
  <c r="D78" i="14" s="1"/>
  <c r="B79" i="13"/>
  <c r="BV17" i="8"/>
  <c r="B76" i="7" l="1"/>
  <c r="C78" i="13"/>
  <c r="C78" i="14"/>
  <c r="D79" i="13"/>
  <c r="B79" i="14"/>
  <c r="D79" i="14" s="1"/>
  <c r="B80" i="13"/>
  <c r="BW17" i="8"/>
  <c r="B77" i="7" l="1"/>
  <c r="C79" i="13"/>
  <c r="C79" i="14"/>
  <c r="D80" i="13"/>
  <c r="B80" i="14"/>
  <c r="D80" i="14" s="1"/>
  <c r="B81" i="13"/>
  <c r="BX17" i="8"/>
  <c r="B78" i="7" l="1"/>
  <c r="C80" i="13"/>
  <c r="C80" i="14"/>
  <c r="D81" i="13"/>
  <c r="B81" i="14"/>
  <c r="D81" i="14" s="1"/>
  <c r="B82" i="13"/>
  <c r="BY17" i="8"/>
  <c r="B79" i="7" l="1"/>
  <c r="C81" i="13"/>
  <c r="C81" i="14"/>
  <c r="D82" i="13"/>
  <c r="B82" i="14"/>
  <c r="D82" i="14" s="1"/>
  <c r="B83" i="13"/>
  <c r="BZ17" i="8"/>
  <c r="B80" i="7" l="1"/>
  <c r="C82" i="13"/>
  <c r="C82" i="14"/>
  <c r="D83" i="13"/>
  <c r="B83" i="14"/>
  <c r="D83" i="14" s="1"/>
  <c r="B84" i="13"/>
  <c r="CA17" i="8"/>
  <c r="B81" i="7" l="1"/>
  <c r="C83" i="13"/>
  <c r="C83" i="14"/>
  <c r="D84" i="13"/>
  <c r="B84" i="14"/>
  <c r="D84" i="14" s="1"/>
  <c r="B85" i="13"/>
  <c r="CB17" i="8"/>
  <c r="B82" i="7" l="1"/>
  <c r="C84" i="13"/>
  <c r="C84" i="14"/>
  <c r="D85" i="13"/>
  <c r="B85" i="14"/>
  <c r="D85" i="14" s="1"/>
  <c r="B86" i="13"/>
  <c r="CC17" i="8"/>
  <c r="B83" i="7" l="1"/>
  <c r="C85" i="13"/>
  <c r="C85" i="14"/>
  <c r="D86" i="13"/>
  <c r="B86" i="14"/>
  <c r="D86" i="14" s="1"/>
  <c r="B87" i="13"/>
  <c r="CD17" i="8"/>
  <c r="B84" i="7" l="1"/>
  <c r="C86" i="13"/>
  <c r="C86" i="14"/>
  <c r="D87" i="13"/>
  <c r="B87" i="14"/>
  <c r="D87" i="14" s="1"/>
  <c r="B88" i="13"/>
  <c r="CE17" i="8"/>
  <c r="B85" i="7" l="1"/>
  <c r="C87" i="13"/>
  <c r="C87" i="14"/>
  <c r="D88" i="13"/>
  <c r="B88" i="14"/>
  <c r="D88" i="14" s="1"/>
  <c r="B89" i="13"/>
  <c r="CF17" i="8"/>
  <c r="B86" i="7" l="1"/>
  <c r="C88" i="13"/>
  <c r="C88" i="14"/>
  <c r="D89" i="13"/>
  <c r="B89" i="14"/>
  <c r="D89" i="14" s="1"/>
  <c r="B90" i="13"/>
  <c r="CG17" i="8"/>
  <c r="B87" i="7" l="1"/>
  <c r="C89" i="13"/>
  <c r="C89" i="14"/>
  <c r="D90" i="13"/>
  <c r="B90" i="14"/>
  <c r="D90" i="14" s="1"/>
  <c r="B91" i="13"/>
  <c r="CH17" i="8"/>
  <c r="B88" i="7" l="1"/>
  <c r="C90" i="13"/>
  <c r="C90" i="14"/>
  <c r="D91" i="13"/>
  <c r="B91" i="14"/>
  <c r="D91" i="14" s="1"/>
  <c r="B92" i="13"/>
  <c r="CI17" i="8"/>
  <c r="B89" i="7" l="1"/>
  <c r="C91" i="13"/>
  <c r="C91" i="14"/>
  <c r="D92" i="13"/>
  <c r="B92" i="14"/>
  <c r="D92" i="14" s="1"/>
  <c r="B93" i="13"/>
  <c r="CJ17" i="8"/>
  <c r="B90" i="7" l="1"/>
  <c r="C92" i="13"/>
  <c r="C92" i="14"/>
  <c r="D93" i="13"/>
  <c r="B93" i="14"/>
  <c r="D93" i="14" s="1"/>
  <c r="B94" i="13"/>
  <c r="CK17" i="8"/>
  <c r="B91" i="7" l="1"/>
  <c r="C93" i="13"/>
  <c r="C93" i="14"/>
  <c r="D94" i="13"/>
  <c r="B94" i="14"/>
  <c r="D94" i="14" s="1"/>
  <c r="B95" i="13"/>
  <c r="CL17" i="8"/>
  <c r="B92" i="7" l="1"/>
  <c r="C94" i="13"/>
  <c r="C94" i="14"/>
  <c r="D95" i="13"/>
  <c r="B95" i="14"/>
  <c r="D95" i="14" s="1"/>
  <c r="B96" i="13"/>
  <c r="CM17" i="8"/>
  <c r="B93" i="7" l="1"/>
  <c r="C95" i="13"/>
  <c r="C95" i="14"/>
  <c r="D96" i="13"/>
  <c r="B96" i="14"/>
  <c r="D96" i="14" s="1"/>
  <c r="B97" i="13"/>
  <c r="CN17" i="8"/>
  <c r="B94" i="7" l="1"/>
  <c r="C96" i="13"/>
  <c r="C96" i="14"/>
  <c r="D97" i="13"/>
  <c r="B97" i="14"/>
  <c r="D97" i="14" s="1"/>
  <c r="B98" i="13"/>
  <c r="CO17" i="8"/>
  <c r="B95" i="7" l="1"/>
  <c r="C97" i="13"/>
  <c r="C97" i="14"/>
  <c r="D98" i="13"/>
  <c r="B98" i="14"/>
  <c r="D98" i="14" s="1"/>
  <c r="B99" i="13"/>
  <c r="CP17" i="8"/>
  <c r="B96" i="7" l="1"/>
  <c r="C98" i="13"/>
  <c r="C98" i="14"/>
  <c r="D99" i="13"/>
  <c r="B99" i="14"/>
  <c r="D99" i="14" s="1"/>
  <c r="B100" i="13"/>
  <c r="CQ17" i="8"/>
  <c r="B97" i="7" l="1"/>
  <c r="C99" i="13"/>
  <c r="C99" i="14"/>
  <c r="D100" i="13"/>
  <c r="B100" i="14"/>
  <c r="D100" i="14" s="1"/>
  <c r="B101" i="13"/>
  <c r="CR17" i="8"/>
  <c r="B98" i="7" l="1"/>
  <c r="C100" i="13"/>
  <c r="C100" i="14"/>
  <c r="D101" i="13"/>
  <c r="B101" i="14"/>
  <c r="D101" i="14" s="1"/>
  <c r="B102" i="13"/>
  <c r="CS17" i="8"/>
  <c r="B99" i="7" l="1"/>
  <c r="C101" i="13"/>
  <c r="C101" i="14"/>
  <c r="D102" i="13"/>
  <c r="B102" i="14"/>
  <c r="D102" i="14" s="1"/>
  <c r="B103" i="13"/>
  <c r="CT17" i="8"/>
  <c r="B100" i="7" l="1"/>
  <c r="C102" i="13"/>
  <c r="C102" i="14"/>
  <c r="D103" i="13"/>
  <c r="B103" i="14"/>
  <c r="D103" i="14" s="1"/>
  <c r="B104" i="13"/>
  <c r="CU17" i="8"/>
  <c r="B101" i="7" l="1"/>
  <c r="C103" i="13"/>
  <c r="C103" i="14"/>
  <c r="D104" i="13"/>
  <c r="B104" i="14"/>
  <c r="D104" i="14" s="1"/>
  <c r="B105" i="13"/>
  <c r="CV17" i="8"/>
  <c r="B102" i="7" l="1"/>
  <c r="C104" i="13"/>
  <c r="C104" i="14"/>
  <c r="D105" i="13"/>
  <c r="B105" i="14"/>
  <c r="D105" i="14" s="1"/>
  <c r="B106" i="13"/>
  <c r="CW17" i="8"/>
  <c r="B103" i="7" l="1"/>
  <c r="C105" i="13"/>
  <c r="C105" i="14"/>
  <c r="D106" i="13"/>
  <c r="B106" i="14"/>
  <c r="D106" i="14" s="1"/>
  <c r="B107" i="13"/>
  <c r="CX17" i="8"/>
  <c r="B104" i="7" l="1"/>
  <c r="C106" i="13"/>
  <c r="C106" i="14"/>
  <c r="D107" i="13"/>
  <c r="B107" i="14"/>
  <c r="D107" i="14" s="1"/>
  <c r="B108" i="13"/>
  <c r="CY17" i="8"/>
  <c r="B105" i="7" l="1"/>
  <c r="C107" i="13"/>
  <c r="C107" i="14"/>
  <c r="D108" i="13"/>
  <c r="B108" i="14"/>
  <c r="D108" i="14" s="1"/>
  <c r="B109" i="13"/>
  <c r="CZ17" i="8"/>
  <c r="B106" i="7" l="1"/>
  <c r="C108" i="13"/>
  <c r="C108" i="14"/>
  <c r="D109" i="13"/>
  <c r="B109" i="14"/>
  <c r="D109" i="14" s="1"/>
  <c r="B110" i="13"/>
  <c r="DA17" i="8"/>
  <c r="B107" i="7" l="1"/>
  <c r="C109" i="13"/>
  <c r="C109" i="14"/>
  <c r="D110" i="13"/>
  <c r="B110" i="14"/>
  <c r="D110" i="14" s="1"/>
  <c r="B111" i="13"/>
  <c r="DB17" i="8"/>
  <c r="B108" i="7" l="1"/>
  <c r="C110" i="13"/>
  <c r="C110" i="14"/>
  <c r="D111" i="13"/>
  <c r="B111" i="14"/>
  <c r="D111" i="14" s="1"/>
  <c r="B112" i="13"/>
  <c r="DC17" i="8"/>
  <c r="B109" i="7" l="1"/>
  <c r="C111" i="13"/>
  <c r="C111" i="14"/>
  <c r="D112" i="13"/>
  <c r="B112" i="14"/>
  <c r="D112" i="14" s="1"/>
  <c r="B113" i="13"/>
  <c r="DD17" i="8"/>
  <c r="B110" i="7" l="1"/>
  <c r="C112" i="13"/>
  <c r="C112" i="14"/>
  <c r="D113" i="13"/>
  <c r="B113" i="14"/>
  <c r="D113" i="14" s="1"/>
  <c r="B114" i="13"/>
  <c r="DE17" i="8"/>
  <c r="B111" i="7" l="1"/>
  <c r="C113" i="13"/>
  <c r="C113" i="14"/>
  <c r="D114" i="13"/>
  <c r="B114" i="14"/>
  <c r="D114" i="14" s="1"/>
  <c r="B115" i="13"/>
  <c r="DF17" i="8"/>
  <c r="B112" i="7" l="1"/>
  <c r="C114" i="13"/>
  <c r="C114" i="14"/>
  <c r="D115" i="13"/>
  <c r="B115" i="14"/>
  <c r="D115" i="14" s="1"/>
  <c r="B116" i="13"/>
  <c r="DG17" i="8"/>
  <c r="B113" i="7" l="1"/>
  <c r="C115" i="13"/>
  <c r="C115" i="14"/>
  <c r="D116" i="13"/>
  <c r="B116" i="14"/>
  <c r="D116" i="14" s="1"/>
  <c r="B117" i="13"/>
  <c r="DH17" i="8"/>
  <c r="B114" i="7" l="1"/>
  <c r="C116" i="13"/>
  <c r="C116" i="14"/>
  <c r="D117" i="13"/>
  <c r="B117" i="14"/>
  <c r="D117" i="14" s="1"/>
  <c r="B118" i="13"/>
  <c r="DI17" i="8"/>
  <c r="B115" i="7" l="1"/>
  <c r="C117" i="13"/>
  <c r="C117" i="14"/>
  <c r="D118" i="13"/>
  <c r="B118" i="14"/>
  <c r="D118" i="14" s="1"/>
  <c r="B119" i="13"/>
  <c r="DJ17" i="8"/>
  <c r="B116" i="7" l="1"/>
  <c r="C118" i="13"/>
  <c r="C118" i="14"/>
  <c r="D119" i="13"/>
  <c r="B119" i="14"/>
  <c r="D119" i="14" s="1"/>
  <c r="B120" i="13"/>
  <c r="DK17" i="8"/>
  <c r="B117" i="7" l="1"/>
  <c r="C119" i="13"/>
  <c r="C119" i="14"/>
  <c r="D120" i="13"/>
  <c r="B120" i="14"/>
  <c r="D120" i="14" s="1"/>
  <c r="B121" i="13"/>
  <c r="DL17" i="8"/>
  <c r="B118" i="7" l="1"/>
  <c r="C120" i="13"/>
  <c r="C120" i="14"/>
  <c r="D121" i="13"/>
  <c r="B121" i="14"/>
  <c r="D121" i="14" s="1"/>
  <c r="B122" i="13"/>
  <c r="DM17" i="8"/>
  <c r="B119" i="7" l="1"/>
  <c r="C121" i="13"/>
  <c r="C121" i="14"/>
  <c r="D122" i="13"/>
  <c r="B122" i="14"/>
  <c r="D122" i="14" s="1"/>
  <c r="B123" i="13"/>
  <c r="DN17" i="8"/>
  <c r="B120" i="7" l="1"/>
  <c r="C122" i="13"/>
  <c r="C122" i="14"/>
  <c r="D123" i="13"/>
  <c r="B123" i="14"/>
  <c r="D123" i="14" s="1"/>
  <c r="B124" i="13"/>
  <c r="DO17" i="8"/>
  <c r="B121" i="7" l="1"/>
  <c r="C123" i="13"/>
  <c r="C123" i="14"/>
  <c r="D124" i="13"/>
  <c r="B124" i="14"/>
  <c r="D124" i="14" s="1"/>
  <c r="B125" i="13"/>
  <c r="DP17" i="8"/>
  <c r="B122" i="7" l="1"/>
  <c r="C124" i="13"/>
  <c r="C124" i="14"/>
  <c r="D125" i="13"/>
  <c r="B125" i="14"/>
  <c r="D125" i="14" s="1"/>
  <c r="B126" i="13"/>
  <c r="DQ17" i="8"/>
  <c r="B123" i="7" l="1"/>
  <c r="C125" i="13"/>
  <c r="C125" i="14"/>
  <c r="D126" i="13"/>
  <c r="B126" i="14"/>
  <c r="D126" i="14" s="1"/>
  <c r="B127" i="13"/>
  <c r="DR17" i="8"/>
  <c r="B124" i="7" l="1"/>
  <c r="C126" i="13"/>
  <c r="C126" i="14"/>
  <c r="D127" i="13"/>
  <c r="B127" i="14"/>
  <c r="D127" i="14" s="1"/>
  <c r="B128" i="13"/>
  <c r="DS17" i="8"/>
  <c r="B125" i="7" l="1"/>
  <c r="C127" i="13"/>
  <c r="C127" i="14"/>
  <c r="D128" i="13"/>
  <c r="B128" i="14"/>
  <c r="D128" i="14" s="1"/>
  <c r="B129" i="13"/>
  <c r="DT17" i="8"/>
  <c r="B126" i="7" l="1"/>
  <c r="C128" i="13"/>
  <c r="C128" i="14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/>
  <c r="D131" i="13"/>
  <c r="B131" i="14"/>
  <c r="D131" i="14" s="1"/>
  <c r="B132" i="13"/>
  <c r="DW17" i="8"/>
  <c r="B129" i="7" l="1"/>
  <c r="C131" i="13"/>
  <c r="C131" i="14"/>
  <c r="D132" i="13"/>
  <c r="B132" i="14"/>
  <c r="D132" i="14" s="1"/>
  <c r="B133" i="13"/>
  <c r="DX17" i="8"/>
  <c r="B130" i="7" l="1"/>
  <c r="C132" i="13"/>
  <c r="C132" i="14"/>
  <c r="D133" i="13"/>
  <c r="B133" i="14"/>
  <c r="D133" i="14" s="1"/>
  <c r="B134" i="13"/>
  <c r="DY17" i="8"/>
  <c r="B131" i="7" l="1"/>
  <c r="C133" i="13"/>
  <c r="C133" i="14"/>
  <c r="D134" i="13"/>
  <c r="B134" i="14"/>
  <c r="D134" i="14" s="1"/>
  <c r="B135" i="13"/>
  <c r="DZ17" i="8"/>
  <c r="B132" i="7" l="1"/>
  <c r="C134" i="13"/>
  <c r="C134" i="14"/>
  <c r="D135" i="13"/>
  <c r="B135" i="14"/>
  <c r="D135" i="14" s="1"/>
  <c r="B136" i="13"/>
  <c r="EA17" i="8"/>
  <c r="B133" i="7" l="1"/>
  <c r="C135" i="13"/>
  <c r="C135" i="14"/>
  <c r="D136" i="13"/>
  <c r="B136" i="14"/>
  <c r="D136" i="14" s="1"/>
  <c r="B137" i="13"/>
  <c r="EB17" i="8"/>
  <c r="B134" i="7" l="1"/>
  <c r="C136" i="13"/>
  <c r="C136" i="14"/>
  <c r="D137" i="13"/>
  <c r="B137" i="14"/>
  <c r="D137" i="14" s="1"/>
  <c r="B138" i="13"/>
  <c r="EC17" i="8"/>
  <c r="B135" i="7" l="1"/>
  <c r="C137" i="13"/>
  <c r="C137" i="14"/>
  <c r="D138" i="13"/>
  <c r="B138" i="14"/>
  <c r="D138" i="14" s="1"/>
  <c r="B139" i="13"/>
  <c r="ED17" i="8"/>
  <c r="B136" i="7" l="1"/>
  <c r="C138" i="13"/>
  <c r="C138" i="14"/>
  <c r="D139" i="13"/>
  <c r="B139" i="14"/>
  <c r="D139" i="14" s="1"/>
  <c r="B140" i="13"/>
  <c r="EE17" i="8"/>
  <c r="B137" i="7" l="1"/>
  <c r="C139" i="13"/>
  <c r="C139" i="14"/>
  <c r="D140" i="13"/>
  <c r="B140" i="14"/>
  <c r="D140" i="14" s="1"/>
  <c r="B141" i="13"/>
  <c r="EF17" i="8"/>
  <c r="B138" i="7" l="1"/>
  <c r="C140" i="13"/>
  <c r="C140" i="14"/>
  <c r="D141" i="13"/>
  <c r="B141" i="14"/>
  <c r="D141" i="14" s="1"/>
  <c r="B142" i="13"/>
  <c r="EG17" i="8"/>
  <c r="B139" i="7" l="1"/>
  <c r="C141" i="13"/>
  <c r="C141" i="14"/>
  <c r="D142" i="13"/>
  <c r="B142" i="14"/>
  <c r="D142" i="14" s="1"/>
  <c r="B143" i="13"/>
  <c r="EH17" i="8"/>
  <c r="B140" i="7" l="1"/>
  <c r="C142" i="13"/>
  <c r="C142" i="14"/>
  <c r="D143" i="13"/>
  <c r="B143" i="14"/>
  <c r="D143" i="14" s="1"/>
  <c r="B144" i="13"/>
  <c r="EI17" i="8"/>
  <c r="B141" i="7" l="1"/>
  <c r="C143" i="13"/>
  <c r="C143" i="14"/>
  <c r="D144" i="13"/>
  <c r="B144" i="14"/>
  <c r="D144" i="14" s="1"/>
  <c r="B145" i="13"/>
  <c r="EJ17" i="8"/>
  <c r="B142" i="7" l="1"/>
  <c r="C144" i="13"/>
  <c r="C144" i="14"/>
  <c r="D145" i="13"/>
  <c r="B145" i="14"/>
  <c r="D145" i="14" s="1"/>
  <c r="B146" i="13"/>
  <c r="EK17" i="8"/>
  <c r="B143" i="7" l="1"/>
  <c r="C145" i="13"/>
  <c r="C145" i="14"/>
  <c r="D146" i="13"/>
  <c r="B146" i="14"/>
  <c r="D146" i="14" s="1"/>
  <c r="B147" i="13"/>
  <c r="EL17" i="8"/>
  <c r="B144" i="7" l="1"/>
  <c r="C146" i="13"/>
  <c r="C146" i="14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/>
  <c r="D149" i="13"/>
  <c r="B149" i="14"/>
  <c r="D149" i="14" s="1"/>
  <c r="B150" i="13"/>
  <c r="EO17" i="8"/>
  <c r="B147" i="7" l="1"/>
  <c r="C149" i="13"/>
  <c r="C149" i="14"/>
  <c r="D150" i="13"/>
  <c r="B150" i="14"/>
  <c r="D150" i="14" s="1"/>
  <c r="B151" i="13"/>
  <c r="EP17" i="8"/>
  <c r="B148" i="7" l="1"/>
  <c r="C150" i="13"/>
  <c r="C150" i="14"/>
  <c r="D151" i="13"/>
  <c r="B151" i="14"/>
  <c r="D151" i="14" s="1"/>
  <c r="B152" i="13"/>
  <c r="EQ17" i="8"/>
  <c r="B149" i="7" l="1"/>
  <c r="C151" i="13"/>
  <c r="C151" i="14"/>
  <c r="D152" i="13"/>
  <c r="B152" i="14"/>
  <c r="D152" i="14" s="1"/>
  <c r="B153" i="13"/>
  <c r="ER17" i="8"/>
  <c r="B150" i="7" l="1"/>
  <c r="C152" i="13"/>
  <c r="C152" i="14"/>
  <c r="D153" i="13"/>
  <c r="B153" i="14"/>
  <c r="D153" i="14" s="1"/>
  <c r="B154" i="13"/>
  <c r="ES17" i="8"/>
  <c r="B151" i="7" l="1"/>
  <c r="C153" i="13"/>
  <c r="C153" i="14"/>
  <c r="D154" i="13"/>
  <c r="B154" i="14"/>
  <c r="D154" i="14" s="1"/>
  <c r="B155" i="13"/>
  <c r="ET17" i="8"/>
  <c r="B152" i="7" l="1"/>
  <c r="C154" i="13"/>
  <c r="C154" i="14"/>
  <c r="D155" i="13"/>
  <c r="B155" i="14"/>
  <c r="D155" i="14" s="1"/>
  <c r="B156" i="13"/>
  <c r="EU17" i="8"/>
  <c r="B153" i="7" l="1"/>
  <c r="C155" i="13"/>
  <c r="C155" i="14"/>
  <c r="D156" i="13"/>
  <c r="B156" i="14"/>
  <c r="D156" i="14" s="1"/>
  <c r="B157" i="13"/>
  <c r="EV17" i="8"/>
  <c r="B154" i="7" l="1"/>
  <c r="C156" i="13"/>
  <c r="C156" i="14"/>
  <c r="D157" i="13"/>
  <c r="B157" i="14"/>
  <c r="D157" i="14" s="1"/>
  <c r="B158" i="13"/>
  <c r="EW17" i="8"/>
  <c r="B155" i="7" l="1"/>
  <c r="C157" i="13"/>
  <c r="C157" i="14"/>
  <c r="D158" i="13"/>
  <c r="B158" i="14"/>
  <c r="D158" i="14" s="1"/>
  <c r="B159" i="13"/>
  <c r="EX17" i="8"/>
  <c r="B156" i="7" l="1"/>
  <c r="C158" i="13"/>
  <c r="C158" i="14"/>
  <c r="D159" i="13"/>
  <c r="B159" i="14"/>
  <c r="D159" i="14" s="1"/>
  <c r="B160" i="13"/>
  <c r="EY17" i="8"/>
  <c r="B157" i="7" l="1"/>
  <c r="C159" i="13"/>
  <c r="C159" i="14"/>
  <c r="D160" i="13"/>
  <c r="B160" i="14"/>
  <c r="D160" i="14" s="1"/>
  <c r="B161" i="13"/>
  <c r="EZ17" i="8"/>
  <c r="B158" i="7" l="1"/>
  <c r="C160" i="13"/>
  <c r="C160" i="14"/>
  <c r="D161" i="13"/>
  <c r="B161" i="14"/>
  <c r="D161" i="14" s="1"/>
  <c r="B162" i="13"/>
  <c r="FA17" i="8"/>
  <c r="B159" i="7" l="1"/>
  <c r="C161" i="13"/>
  <c r="C161" i="14"/>
  <c r="D162" i="13"/>
  <c r="B162" i="14"/>
  <c r="D162" i="14" s="1"/>
  <c r="B163" i="13"/>
  <c r="FB17" i="8"/>
  <c r="B160" i="7" l="1"/>
  <c r="C162" i="13"/>
  <c r="C162" i="14"/>
  <c r="D163" i="13"/>
  <c r="B163" i="14"/>
  <c r="D163" i="14" s="1"/>
  <c r="B164" i="13"/>
  <c r="FC17" i="8"/>
  <c r="B161" i="7" l="1"/>
  <c r="C163" i="13"/>
  <c r="C163" i="14"/>
  <c r="D164" i="13"/>
  <c r="B164" i="14"/>
  <c r="D164" i="14" s="1"/>
  <c r="B165" i="13"/>
  <c r="FD17" i="8"/>
  <c r="B162" i="7" l="1"/>
  <c r="C164" i="13"/>
  <c r="C164" i="14"/>
  <c r="D165" i="13"/>
  <c r="B165" i="14"/>
  <c r="D165" i="14" s="1"/>
  <c r="B166" i="13"/>
  <c r="FE17" i="8"/>
  <c r="B163" i="7" l="1"/>
  <c r="C165" i="13"/>
  <c r="C165" i="14"/>
  <c r="D166" i="13"/>
  <c r="B166" i="14"/>
  <c r="D166" i="14" s="1"/>
  <c r="B167" i="13"/>
  <c r="FF17" i="8"/>
  <c r="B164" i="7" l="1"/>
  <c r="C166" i="13"/>
  <c r="C166" i="14"/>
  <c r="D167" i="13"/>
  <c r="B167" i="14"/>
  <c r="D167" i="14" s="1"/>
  <c r="B168" i="13"/>
  <c r="FG17" i="8"/>
  <c r="B165" i="7" l="1"/>
  <c r="C167" i="13"/>
  <c r="C167" i="14"/>
  <c r="D168" i="13"/>
  <c r="B168" i="14"/>
  <c r="D168" i="14" s="1"/>
  <c r="B169" i="13"/>
  <c r="FH17" i="8"/>
  <c r="B166" i="7" l="1"/>
  <c r="C168" i="13"/>
  <c r="C168" i="14"/>
  <c r="D169" i="13"/>
  <c r="B169" i="14"/>
  <c r="D169" i="14" s="1"/>
  <c r="B170" i="13"/>
  <c r="FI17" i="8"/>
  <c r="B167" i="7" l="1"/>
  <c r="C169" i="13"/>
  <c r="C169" i="14"/>
  <c r="D170" i="13"/>
  <c r="B170" i="14"/>
  <c r="D170" i="14" s="1"/>
  <c r="B171" i="13"/>
  <c r="FJ17" i="8"/>
  <c r="B168" i="7" l="1"/>
  <c r="C170" i="13"/>
  <c r="C170" i="14"/>
  <c r="D171" i="13"/>
  <c r="B171" i="14"/>
  <c r="D171" i="14" s="1"/>
  <c r="B172" i="13"/>
  <c r="FK17" i="8"/>
  <c r="B169" i="7" l="1"/>
  <c r="C171" i="13"/>
  <c r="C171" i="14"/>
  <c r="D172" i="13"/>
  <c r="B172" i="14"/>
  <c r="D172" i="14" s="1"/>
  <c r="B173" i="13"/>
  <c r="FL17" i="8"/>
  <c r="B170" i="7" l="1"/>
  <c r="C172" i="13"/>
  <c r="C172" i="14"/>
  <c r="D173" i="13"/>
  <c r="B173" i="14"/>
  <c r="D173" i="14" s="1"/>
  <c r="B174" i="13"/>
  <c r="FM17" i="8"/>
  <c r="B171" i="7" l="1"/>
  <c r="C173" i="13"/>
  <c r="C173" i="14"/>
  <c r="D174" i="13"/>
  <c r="B174" i="14"/>
  <c r="D174" i="14" s="1"/>
  <c r="B175" i="13"/>
  <c r="FN17" i="8"/>
  <c r="B172" i="7" l="1"/>
  <c r="C174" i="13"/>
  <c r="C174" i="14"/>
  <c r="D175" i="13"/>
  <c r="B175" i="14"/>
  <c r="D175" i="14" s="1"/>
  <c r="B176" i="13"/>
  <c r="FO17" i="8"/>
  <c r="B173" i="7" l="1"/>
  <c r="C175" i="13"/>
  <c r="C175" i="14"/>
  <c r="D176" i="13"/>
  <c r="B176" i="14"/>
  <c r="D176" i="14" s="1"/>
  <c r="B177" i="13"/>
  <c r="FP17" i="8"/>
  <c r="B174" i="7" l="1"/>
  <c r="C176" i="13"/>
  <c r="C176" i="14"/>
  <c r="D177" i="13"/>
  <c r="B177" i="14"/>
  <c r="D177" i="14" s="1"/>
  <c r="B178" i="13"/>
  <c r="FQ17" i="8"/>
  <c r="B175" i="7" l="1"/>
  <c r="C177" i="13"/>
  <c r="C177" i="14"/>
  <c r="D178" i="13"/>
  <c r="B178" i="14"/>
  <c r="D178" i="14" s="1"/>
  <c r="B179" i="13"/>
  <c r="FR17" i="8"/>
  <c r="B176" i="7" l="1"/>
  <c r="C178" i="13"/>
  <c r="C178" i="14"/>
  <c r="D179" i="13"/>
  <c r="B179" i="14"/>
  <c r="D179" i="14" s="1"/>
  <c r="B180" i="13"/>
  <c r="FS17" i="8"/>
  <c r="B177" i="7" l="1"/>
  <c r="C179" i="13"/>
  <c r="C179" i="14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/>
  <c r="D183" i="13"/>
  <c r="B183" i="14"/>
  <c r="D183" i="14" s="1"/>
  <c r="B184" i="13"/>
  <c r="FW17" i="8"/>
  <c r="B181" i="7" l="1"/>
  <c r="C183" i="13"/>
  <c r="C183" i="14"/>
  <c r="D184" i="13"/>
  <c r="B184" i="14"/>
  <c r="D184" i="14" s="1"/>
  <c r="B185" i="13"/>
  <c r="FX17" i="8"/>
  <c r="B182" i="7" l="1"/>
  <c r="C184" i="13"/>
  <c r="C184" i="14"/>
  <c r="D185" i="13"/>
  <c r="B185" i="14"/>
  <c r="D185" i="14" s="1"/>
  <c r="B186" i="13"/>
  <c r="FY17" i="8"/>
  <c r="B183" i="7" l="1"/>
  <c r="C185" i="13"/>
  <c r="C185" i="14"/>
  <c r="D186" i="13"/>
  <c r="B186" i="14"/>
  <c r="D186" i="14" s="1"/>
  <c r="B187" i="13"/>
  <c r="FZ17" i="8"/>
  <c r="B184" i="7" l="1"/>
  <c r="C186" i="13"/>
  <c r="C186" i="14"/>
  <c r="D187" i="13"/>
  <c r="B187" i="14"/>
  <c r="D187" i="14" s="1"/>
  <c r="B188" i="13"/>
  <c r="GA17" i="8"/>
  <c r="B185" i="7" l="1"/>
  <c r="C187" i="13"/>
  <c r="C187" i="14"/>
  <c r="D188" i="13"/>
  <c r="B188" i="14"/>
  <c r="D188" i="14" s="1"/>
  <c r="B189" i="13"/>
  <c r="GB17" i="8"/>
  <c r="B186" i="7" l="1"/>
  <c r="C188" i="13"/>
  <c r="C188" i="14"/>
  <c r="D189" i="13"/>
  <c r="B189" i="14"/>
  <c r="D189" i="14" s="1"/>
  <c r="B190" i="13"/>
  <c r="GC17" i="8"/>
  <c r="B187" i="7" l="1"/>
  <c r="C189" i="13"/>
  <c r="C189" i="14"/>
  <c r="D190" i="13"/>
  <c r="B190" i="14"/>
  <c r="D190" i="14" s="1"/>
  <c r="B191" i="13"/>
  <c r="GD17" i="8"/>
  <c r="B188" i="7" l="1"/>
  <c r="C190" i="13"/>
  <c r="C190" i="14"/>
  <c r="D191" i="13"/>
  <c r="B191" i="14"/>
  <c r="D191" i="14" s="1"/>
  <c r="B192" i="13"/>
  <c r="GE17" i="8"/>
  <c r="B189" i="7" l="1"/>
  <c r="C191" i="13"/>
  <c r="C191" i="14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/>
  <c r="D194" i="13"/>
  <c r="B194" i="14"/>
  <c r="D194" i="14" s="1"/>
  <c r="B195" i="13"/>
  <c r="GH17" i="8"/>
  <c r="B192" i="7" l="1"/>
  <c r="C194" i="13"/>
  <c r="C194" i="14"/>
  <c r="D195" i="13"/>
  <c r="B195" i="14"/>
  <c r="D195" i="14" s="1"/>
  <c r="B196" i="13"/>
  <c r="GI17" i="8"/>
  <c r="B193" i="7" l="1"/>
  <c r="C195" i="13"/>
  <c r="C195" i="14"/>
  <c r="D196" i="13"/>
  <c r="B196" i="14"/>
  <c r="D196" i="14" s="1"/>
  <c r="B197" i="13"/>
  <c r="GJ17" i="8"/>
  <c r="B194" i="7" l="1"/>
  <c r="C196" i="13"/>
  <c r="C196" i="14"/>
  <c r="D197" i="13"/>
  <c r="B197" i="14"/>
  <c r="D197" i="14" s="1"/>
  <c r="B198" i="13"/>
  <c r="GK17" i="8"/>
  <c r="B195" i="7" l="1"/>
  <c r="C197" i="13"/>
  <c r="C197" i="14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/>
  <c r="D200" i="13"/>
  <c r="B200" i="14"/>
  <c r="D200" i="14" s="1"/>
  <c r="B201" i="13"/>
  <c r="GN17" i="8"/>
  <c r="B198" i="7" l="1"/>
  <c r="C200" i="13"/>
  <c r="C200" i="14"/>
  <c r="D201" i="13"/>
  <c r="B201" i="14"/>
  <c r="D201" i="14" s="1"/>
  <c r="B202" i="13"/>
  <c r="GO17" i="8"/>
  <c r="B199" i="7" l="1"/>
  <c r="C201" i="13"/>
  <c r="C201" i="14"/>
  <c r="D202" i="13"/>
  <c r="B202" i="14"/>
  <c r="D202" i="14" s="1"/>
  <c r="B203" i="13"/>
  <c r="GP17" i="8"/>
  <c r="B200" i="7" l="1"/>
  <c r="C202" i="13"/>
  <c r="C202" i="14"/>
  <c r="D203" i="13"/>
  <c r="B203" i="14"/>
  <c r="D203" i="14" s="1"/>
  <c r="B204" i="13"/>
  <c r="GQ17" i="8"/>
  <c r="B201" i="7" l="1"/>
  <c r="C203" i="13"/>
  <c r="C203" i="14"/>
  <c r="D204" i="13"/>
  <c r="B204" i="14"/>
  <c r="D204" i="14" s="1"/>
  <c r="B205" i="13"/>
  <c r="GR17" i="8"/>
  <c r="B202" i="7" l="1"/>
  <c r="C204" i="13"/>
  <c r="C204" i="14"/>
  <c r="D205" i="13"/>
  <c r="B205" i="14"/>
  <c r="D205" i="14" s="1"/>
  <c r="B206" i="13"/>
  <c r="GS17" i="8"/>
  <c r="B203" i="7" l="1"/>
  <c r="C205" i="13"/>
  <c r="C205" i="14"/>
  <c r="D206" i="13"/>
  <c r="B206" i="14"/>
  <c r="D206" i="14" s="1"/>
  <c r="B207" i="13"/>
  <c r="GT17" i="8"/>
  <c r="B204" i="7" l="1"/>
  <c r="C206" i="13"/>
  <c r="C206" i="14"/>
  <c r="D207" i="13"/>
  <c r="B207" i="14"/>
  <c r="D207" i="14" s="1"/>
  <c r="B208" i="13"/>
  <c r="GU17" i="8"/>
  <c r="B205" i="7" l="1"/>
  <c r="C207" i="13"/>
  <c r="C207" i="14"/>
  <c r="D208" i="13"/>
  <c r="B208" i="14"/>
  <c r="D208" i="14" s="1"/>
  <c r="B209" i="13"/>
  <c r="GV17" i="8"/>
  <c r="B206" i="7" l="1"/>
  <c r="C208" i="13"/>
  <c r="C208" i="14"/>
  <c r="D209" i="13"/>
  <c r="B209" i="14"/>
  <c r="D209" i="14" s="1"/>
  <c r="B210" i="13"/>
  <c r="GW17" i="8"/>
  <c r="B207" i="7" l="1"/>
  <c r="C209" i="13"/>
  <c r="C209" i="14"/>
  <c r="D210" i="13"/>
  <c r="B210" i="14"/>
  <c r="D210" i="14" s="1"/>
  <c r="B211" i="13"/>
  <c r="GX17" i="8"/>
  <c r="B208" i="7" l="1"/>
  <c r="C210" i="13"/>
  <c r="C210" i="14"/>
  <c r="D211" i="13"/>
  <c r="B211" i="14"/>
  <c r="D211" i="14" s="1"/>
  <c r="B212" i="13"/>
  <c r="GY17" i="8"/>
  <c r="B209" i="7" l="1"/>
  <c r="C211" i="13"/>
  <c r="C211" i="14"/>
  <c r="D212" i="13"/>
  <c r="B212" i="14"/>
  <c r="D212" i="14" s="1"/>
  <c r="B213" i="13"/>
  <c r="GZ17" i="8"/>
  <c r="B210" i="7" l="1"/>
  <c r="C212" i="13"/>
  <c r="C212" i="14"/>
  <c r="D213" i="13"/>
  <c r="B213" i="14"/>
  <c r="D213" i="14" s="1"/>
  <c r="B214" i="13"/>
  <c r="HA17" i="8"/>
  <c r="B211" i="7" l="1"/>
  <c r="C213" i="13"/>
  <c r="C213" i="14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/>
  <c r="D216" i="13"/>
  <c r="B216" i="14"/>
  <c r="D216" i="14" s="1"/>
  <c r="B217" i="13"/>
  <c r="E215" i="13"/>
  <c r="E215" i="14" s="1"/>
  <c r="HD17" i="8"/>
  <c r="C216" i="13" l="1"/>
  <c r="C216" i="14"/>
  <c r="D217" i="13"/>
  <c r="B217" i="14"/>
  <c r="D217" i="14" s="1"/>
  <c r="B218" i="13"/>
  <c r="E216" i="13"/>
  <c r="E216" i="14" s="1"/>
  <c r="HE17" i="8"/>
  <c r="C217" i="13" l="1"/>
  <c r="C217" i="14"/>
  <c r="D218" i="13"/>
  <c r="B218" i="14"/>
  <c r="D218" i="14" s="1"/>
  <c r="B219" i="13"/>
  <c r="E217" i="13"/>
  <c r="E217" i="14" s="1"/>
  <c r="HF17" i="8"/>
  <c r="C218" i="13" l="1"/>
  <c r="C218" i="14"/>
  <c r="D219" i="13"/>
  <c r="B219" i="14"/>
  <c r="D219" i="14" s="1"/>
  <c r="B220" i="13"/>
  <c r="E218" i="13"/>
  <c r="E218" i="14" s="1"/>
  <c r="HG17" i="8"/>
  <c r="C219" i="13" l="1"/>
  <c r="C219" i="14"/>
  <c r="D220" i="13"/>
  <c r="B220" i="14"/>
  <c r="D220" i="14" s="1"/>
  <c r="B221" i="13"/>
  <c r="E219" i="13"/>
  <c r="E219" i="14" s="1"/>
  <c r="HH17" i="8"/>
  <c r="C220" i="13" l="1"/>
  <c r="C220" i="14"/>
  <c r="D221" i="13"/>
  <c r="B221" i="14"/>
  <c r="D221" i="14" s="1"/>
  <c r="B222" i="13"/>
  <c r="E220" i="13"/>
  <c r="E220" i="14" s="1"/>
  <c r="HI17" i="8"/>
  <c r="C221" i="13" l="1"/>
  <c r="C221" i="14"/>
  <c r="D222" i="13"/>
  <c r="B222" i="14"/>
  <c r="D222" i="14" s="1"/>
  <c r="B223" i="13"/>
  <c r="E221" i="13"/>
  <c r="E221" i="14" s="1"/>
  <c r="HJ17" i="8"/>
  <c r="C222" i="13" l="1"/>
  <c r="C222" i="14"/>
  <c r="D223" i="13"/>
  <c r="B223" i="14"/>
  <c r="D223" i="14" s="1"/>
  <c r="B224" i="13"/>
  <c r="E222" i="13"/>
  <c r="E222" i="14" s="1"/>
  <c r="HK17" i="8"/>
  <c r="C223" i="13" l="1"/>
  <c r="C223" i="14"/>
  <c r="D224" i="13"/>
  <c r="B224" i="14"/>
  <c r="D224" i="14" s="1"/>
  <c r="B225" i="13"/>
  <c r="E223" i="13"/>
  <c r="E223" i="14" s="1"/>
  <c r="HL17" i="8"/>
  <c r="C224" i="13" l="1"/>
  <c r="C224" i="14"/>
  <c r="D225" i="13"/>
  <c r="B225" i="14"/>
  <c r="D225" i="14" s="1"/>
  <c r="B226" i="13"/>
  <c r="E224" i="13"/>
  <c r="E224" i="14" s="1"/>
  <c r="HM17" i="8"/>
  <c r="C225" i="13" l="1"/>
  <c r="C225" i="14"/>
  <c r="D226" i="13"/>
  <c r="B226" i="14"/>
  <c r="D226" i="14" s="1"/>
  <c r="B227" i="13"/>
  <c r="E225" i="13"/>
  <c r="E225" i="14" s="1"/>
  <c r="HN17" i="8"/>
  <c r="C226" i="13" l="1"/>
  <c r="C226" i="14"/>
  <c r="D227" i="13"/>
  <c r="B227" i="14"/>
  <c r="D227" i="14" s="1"/>
  <c r="B228" i="13"/>
  <c r="E226" i="13"/>
  <c r="E226" i="14" s="1"/>
  <c r="HO17" i="8"/>
  <c r="C227" i="13" l="1"/>
  <c r="C227" i="14"/>
  <c r="D228" i="13"/>
  <c r="B228" i="14"/>
  <c r="D228" i="14" s="1"/>
  <c r="E227" i="13"/>
  <c r="E227" i="14" s="1"/>
  <c r="HP17" i="8"/>
  <c r="C228" i="13" l="1"/>
  <c r="C228" i="14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J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J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60" i="13" l="1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M19" i="13"/>
  <c r="N19" i="13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L43" i="12" s="1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L21" i="12" s="1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M188" i="13" l="1"/>
  <c r="M53" i="13"/>
  <c r="J28" i="13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M29" i="13"/>
  <c r="L29" i="13" s="1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N33" i="13"/>
  <c r="L33" i="13" s="1"/>
  <c r="M168" i="13"/>
  <c r="L168" i="13" s="1"/>
  <c r="N32" i="13"/>
  <c r="L32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42" i="13"/>
  <c r="L42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L53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M28" i="13"/>
  <c r="N28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N31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43" i="13" l="1"/>
  <c r="L43" i="13" s="1"/>
  <c r="N41" i="13"/>
  <c r="L41" i="13" s="1"/>
  <c r="N45" i="13"/>
  <c r="L45" i="13" s="1"/>
  <c r="M26" i="13"/>
  <c r="L26" i="13" s="1"/>
  <c r="M27" i="13"/>
  <c r="L27" i="13" s="1"/>
  <c r="M46" i="13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46" i="13"/>
  <c r="L28" i="13"/>
  <c r="L227" i="13"/>
  <c r="L31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<sst xmlns="http://schemas.openxmlformats.org/spreadsheetml/2006/main" count="697" uniqueCount="211">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</sst>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"/>
    <numFmt numFmtId="165" formatCode="0.000"/>
    <numFmt numFmtId="166" formatCode="d\.mmm\.yyyy"/>
    <numFmt numFmtId="167" formatCode="_-* #,##0.0_-;\-* #,##0.0_-;_-* &quot;-&quot;??_-;_-@_-"/>
    <numFmt numFmtId="168" formatCode="ddd\ d\.mmm\.yyyy"/>
    <numFmt numFmtId="169" formatCode="dddd\ d/mmm/yyyy"/>
  </numFmts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4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6" fillId="6" borderId="0" xfId="0" applyNumberFormat="1" applyFont="1" applyFill="1"/>
    <xf numFmtId="164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6" fillId="9" borderId="0" xfId="0" applyNumberFormat="1" applyFont="1" applyFill="1"/>
    <xf numFmtId="164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69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7" fontId="5" fillId="0" borderId="0" xfId="1" applyNumberFormat="1" applyFont="1" applyBorder="1"/>
    <xf numFmtId="43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69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69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7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8" fontId="2" fillId="14" borderId="9" xfId="0" applyNumberFormat="1" applyFont="1" applyFill="1" applyBorder="1" applyAlignment="1">
      <alignment horizontal="center" vertical="center" textRotation="90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11" fillId="0" borderId="9" xfId="0" applyFont="1" applyBorder="1" applyAlignment="1">
      <alignment horizontal="center"/>
    </xf>
    <xf numFmtId="0" fontId="11" fillId="2" borderId="9" xfId="0" applyFont="1" applyFill="1" applyBorder="1" applyAlignment="1">
      <alignment horizontal="center"/>
    </xf>
    <xf numFmtId="168" fontId="2" fillId="16" borderId="9" xfId="0" applyNumberFormat="1" applyFont="1" applyFill="1" applyBorder="1" applyAlignment="1">
      <alignment horizontal="center" vertical="center" textRotation="90"/>
    </xf>
    <xf numFmtId="169" fontId="0" fillId="0" borderId="10" xfId="0" applyNumberFormat="1" applyBorder="1" applyAlignment="1">
      <alignment horizontal="center"/>
    </xf>
    <xf numFmtId="169" fontId="0" fillId="0" borderId="0" xfId="0" applyNumberFormat="1" applyAlignment="1">
      <alignment horizontal="center"/>
    </xf>
    <xf numFmtId="0" fontId="13" fillId="0" borderId="9" xfId="0" applyFont="1" applyBorder="1" applyAlignment="1">
      <alignment horizontal="center"/>
    </xf>
    <xf numFmtId="164" fontId="13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5" fillId="0" borderId="12" xfId="0" applyFont="1" applyBorder="1"/>
    <xf numFmtId="0" fontId="15" fillId="0" borderId="14" xfId="0" applyFont="1" applyBorder="1"/>
    <xf numFmtId="0" fontId="0" fillId="0" borderId="13" xfId="0" applyBorder="1"/>
    <xf numFmtId="164" fontId="2" fillId="11" borderId="5" xfId="0" applyNumberFormat="1" applyFont="1" applyFill="1" applyBorder="1" applyAlignment="1">
      <alignment horizontal="center"/>
    </xf>
    <xf numFmtId="164" fontId="2" fillId="11" borderId="8" xfId="0" applyNumberFormat="1" applyFont="1" applyFill="1" applyBorder="1" applyAlignment="1">
      <alignment horizontal="center"/>
    </xf>
    <xf numFmtId="169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4" fontId="2" fillId="11" borderId="28" xfId="0" applyNumberFormat="1" applyFont="1" applyFill="1" applyBorder="1" applyAlignment="1">
      <alignment horizontal="center"/>
    </xf>
    <xf numFmtId="0" fontId="16" fillId="0" borderId="9" xfId="0" applyFont="1" applyBorder="1"/>
    <xf numFmtId="167" fontId="16" fillId="0" borderId="9" xfId="1" applyNumberFormat="1" applyFont="1" applyBorder="1"/>
    <xf numFmtId="43" fontId="16" fillId="0" borderId="9" xfId="1" applyFont="1" applyBorder="1"/>
    <xf numFmtId="164" fontId="2" fillId="12" borderId="0" xfId="0" applyNumberFormat="1" applyFont="1" applyFill="1" applyAlignment="1">
      <alignment horizontal="center"/>
    </xf>
    <xf numFmtId="164" fontId="2" fillId="12" borderId="5" xfId="0" applyNumberFormat="1" applyFont="1" applyFill="1" applyBorder="1" applyAlignment="1">
      <alignment horizontal="center"/>
    </xf>
    <xf numFmtId="164" fontId="2" fillId="12" borderId="7" xfId="0" applyNumberFormat="1" applyFont="1" applyFill="1" applyBorder="1" applyAlignment="1">
      <alignment horizontal="center"/>
    </xf>
    <xf numFmtId="164" fontId="2" fillId="12" borderId="8" xfId="0" applyNumberFormat="1" applyFont="1" applyFill="1" applyBorder="1" applyAlignment="1">
      <alignment horizontal="center"/>
    </xf>
    <xf numFmtId="0" fontId="17" fillId="0" borderId="0" xfId="0" applyFont="1"/>
    <xf numFmtId="20" fontId="2" fillId="12" borderId="0" xfId="0" applyNumberFormat="1" applyFont="1" applyFill="1" applyAlignment="1">
      <alignment horizontal="center"/>
    </xf>
    <xf numFmtId="169" fontId="2" fillId="12" borderId="0" xfId="0" applyNumberFormat="1" applyFont="1" applyFill="1" applyAlignment="1">
      <alignment horizontal="center"/>
    </xf>
    <xf numFmtId="0" fontId="16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2" fillId="17" borderId="9" xfId="0" applyFont="1" applyFill="1" applyBorder="1" applyAlignment="1">
      <alignment horizontal="left" vertical="center" wrapText="1"/>
    </xf>
    <xf numFmtId="0" fontId="14" fillId="17" borderId="0" xfId="0" applyFont="1" applyFill="1" applyAlignment="1">
      <alignment horizontal="center" vertical="center" wrapText="1"/>
    </xf>
    <xf numFmtId="0" fontId="14" fillId="18" borderId="0" xfId="0" applyFont="1" applyFill="1" applyAlignment="1">
      <alignment horizontal="center" vertical="center" wrapText="1"/>
    </xf>
  </cellXfs>
  <cellStyles count="3">
    <cellStyle name="Comma" xfId="1" builtinId="3"/>
    <cellStyle name="Hyperlink" xfId="2" builtinId="8"/>
    <cellStyle name="Normal" xfId="0" builtinId="0"/>
  </cellStyles>
  <dxfs count="134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color rgb="FF9C5700"/>
      </font>
      <fill>
        <patternFill>
          <bgColor rgb="FFFFEB9C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45444.083333333336</c:v>
                </c:pt>
                <c:pt idx="1">
                  <c:v>45444.125</c:v>
                </c:pt>
                <c:pt idx="2">
                  <c:v>45444.166666666664</c:v>
                </c:pt>
                <c:pt idx="3">
                  <c:v>45444.208333333328</c:v>
                </c:pt>
                <c:pt idx="4">
                  <c:v>45444.249999999993</c:v>
                </c:pt>
                <c:pt idx="5">
                  <c:v>45444.291666666657</c:v>
                </c:pt>
                <c:pt idx="6">
                  <c:v>45444.333333333321</c:v>
                </c:pt>
                <c:pt idx="7">
                  <c:v>45444.374999999985</c:v>
                </c:pt>
                <c:pt idx="8">
                  <c:v>45444.41666666665</c:v>
                </c:pt>
                <c:pt idx="9">
                  <c:v>45444.458333333314</c:v>
                </c:pt>
                <c:pt idx="10">
                  <c:v>45444.499999999978</c:v>
                </c:pt>
                <c:pt idx="11">
                  <c:v>45444.541666666642</c:v>
                </c:pt>
                <c:pt idx="12">
                  <c:v>45444.583333333307</c:v>
                </c:pt>
                <c:pt idx="13">
                  <c:v>45444.624999999971</c:v>
                </c:pt>
                <c:pt idx="14">
                  <c:v>45444.666666666635</c:v>
                </c:pt>
                <c:pt idx="15">
                  <c:v>45444.708333333299</c:v>
                </c:pt>
                <c:pt idx="16">
                  <c:v>45444.749999999964</c:v>
                </c:pt>
                <c:pt idx="17">
                  <c:v>45444.791666666628</c:v>
                </c:pt>
                <c:pt idx="18">
                  <c:v>45444.833333333292</c:v>
                </c:pt>
                <c:pt idx="19">
                  <c:v>45444.874999999956</c:v>
                </c:pt>
                <c:pt idx="20">
                  <c:v>45444.916666666621</c:v>
                </c:pt>
                <c:pt idx="21">
                  <c:v>45444.958333333285</c:v>
                </c:pt>
                <c:pt idx="22">
                  <c:v>45444.999999999949</c:v>
                </c:pt>
                <c:pt idx="23">
                  <c:v>45445.041666666613</c:v>
                </c:pt>
                <c:pt idx="24">
                  <c:v>45445.083333333278</c:v>
                </c:pt>
                <c:pt idx="25">
                  <c:v>45445.124999999942</c:v>
                </c:pt>
                <c:pt idx="26">
                  <c:v>45445.166666666606</c:v>
                </c:pt>
                <c:pt idx="27">
                  <c:v>45445.20833333327</c:v>
                </c:pt>
                <c:pt idx="28">
                  <c:v>45445.249999999935</c:v>
                </c:pt>
                <c:pt idx="29">
                  <c:v>45445.291666666599</c:v>
                </c:pt>
                <c:pt idx="30">
                  <c:v>45445.333333333263</c:v>
                </c:pt>
                <c:pt idx="31">
                  <c:v>45445.374999999927</c:v>
                </c:pt>
                <c:pt idx="32">
                  <c:v>45445.416666666591</c:v>
                </c:pt>
                <c:pt idx="33">
                  <c:v>45445.458333333256</c:v>
                </c:pt>
                <c:pt idx="34">
                  <c:v>45445.49999999992</c:v>
                </c:pt>
                <c:pt idx="35">
                  <c:v>45445.541666666584</c:v>
                </c:pt>
                <c:pt idx="36">
                  <c:v>45445.583333333248</c:v>
                </c:pt>
                <c:pt idx="37">
                  <c:v>45445.624999999913</c:v>
                </c:pt>
                <c:pt idx="38">
                  <c:v>45445.666666666577</c:v>
                </c:pt>
                <c:pt idx="39">
                  <c:v>45445.708333333241</c:v>
                </c:pt>
                <c:pt idx="40">
                  <c:v>45445.749999999905</c:v>
                </c:pt>
                <c:pt idx="41">
                  <c:v>45445.79166666657</c:v>
                </c:pt>
                <c:pt idx="42">
                  <c:v>45445.833333333234</c:v>
                </c:pt>
                <c:pt idx="43">
                  <c:v>45445.874999999898</c:v>
                </c:pt>
                <c:pt idx="44">
                  <c:v>45445.916666666562</c:v>
                </c:pt>
                <c:pt idx="45">
                  <c:v>45445.958333333227</c:v>
                </c:pt>
                <c:pt idx="46">
                  <c:v>45445.999999999891</c:v>
                </c:pt>
                <c:pt idx="47">
                  <c:v>45446.041666666555</c:v>
                </c:pt>
                <c:pt idx="48">
                  <c:v>45446.083333333219</c:v>
                </c:pt>
                <c:pt idx="49">
                  <c:v>45446.124999999884</c:v>
                </c:pt>
                <c:pt idx="50">
                  <c:v>45446.166666666548</c:v>
                </c:pt>
                <c:pt idx="51">
                  <c:v>45446.208333333212</c:v>
                </c:pt>
                <c:pt idx="52">
                  <c:v>45446.249999999876</c:v>
                </c:pt>
                <c:pt idx="53">
                  <c:v>45446.291666666541</c:v>
                </c:pt>
                <c:pt idx="54">
                  <c:v>45446.333333333205</c:v>
                </c:pt>
                <c:pt idx="55">
                  <c:v>45446.374999999869</c:v>
                </c:pt>
                <c:pt idx="56">
                  <c:v>45446.416666666533</c:v>
                </c:pt>
                <c:pt idx="57">
                  <c:v>45446.458333333198</c:v>
                </c:pt>
                <c:pt idx="58">
                  <c:v>45446.499999999862</c:v>
                </c:pt>
                <c:pt idx="59">
                  <c:v>45446.541666666526</c:v>
                </c:pt>
                <c:pt idx="60">
                  <c:v>45446.58333333319</c:v>
                </c:pt>
                <c:pt idx="61">
                  <c:v>45446.624999999854</c:v>
                </c:pt>
                <c:pt idx="62">
                  <c:v>45446.666666666519</c:v>
                </c:pt>
                <c:pt idx="63">
                  <c:v>45446.708333333183</c:v>
                </c:pt>
                <c:pt idx="64">
                  <c:v>45446.749999999847</c:v>
                </c:pt>
                <c:pt idx="65">
                  <c:v>45446.791666666511</c:v>
                </c:pt>
                <c:pt idx="66">
                  <c:v>45446.833333333176</c:v>
                </c:pt>
                <c:pt idx="67">
                  <c:v>45446.87499999984</c:v>
                </c:pt>
                <c:pt idx="68">
                  <c:v>45446.916666666504</c:v>
                </c:pt>
                <c:pt idx="69">
                  <c:v>45446.958333333168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79.99799999999999</c:v>
                </c:pt>
                <c:pt idx="1">
                  <c:v>141.13399999999999</c:v>
                </c:pt>
                <c:pt idx="2">
                  <c:v>171.92900000000003</c:v>
                </c:pt>
                <c:pt idx="3">
                  <c:v>171.92900000000003</c:v>
                </c:pt>
                <c:pt idx="4">
                  <c:v>157.44</c:v>
                </c:pt>
                <c:pt idx="5">
                  <c:v>144.18199999999999</c:v>
                </c:pt>
                <c:pt idx="6">
                  <c:v>141.13399999999999</c:v>
                </c:pt>
                <c:pt idx="7">
                  <c:v>126.44500000000001</c:v>
                </c:pt>
                <c:pt idx="8">
                  <c:v>126.44500000000001</c:v>
                </c:pt>
                <c:pt idx="9">
                  <c:v>130.666</c:v>
                </c:pt>
                <c:pt idx="10">
                  <c:v>108.56399999999999</c:v>
                </c:pt>
                <c:pt idx="11">
                  <c:v>126.44500000000001</c:v>
                </c:pt>
                <c:pt idx="12">
                  <c:v>130.666</c:v>
                </c:pt>
                <c:pt idx="13">
                  <c:v>126.44500000000001</c:v>
                </c:pt>
                <c:pt idx="14">
                  <c:v>94.643000000000001</c:v>
                </c:pt>
                <c:pt idx="15">
                  <c:v>64.801000000000002</c:v>
                </c:pt>
                <c:pt idx="16">
                  <c:v>33.347999999999999</c:v>
                </c:pt>
                <c:pt idx="17">
                  <c:v>33.347999999999999</c:v>
                </c:pt>
                <c:pt idx="18">
                  <c:v>33.347999999999999</c:v>
                </c:pt>
                <c:pt idx="19">
                  <c:v>40.14</c:v>
                </c:pt>
                <c:pt idx="20">
                  <c:v>41.459999999999994</c:v>
                </c:pt>
                <c:pt idx="21">
                  <c:v>31.566000000000003</c:v>
                </c:pt>
                <c:pt idx="22">
                  <c:v>23.250000000000004</c:v>
                </c:pt>
                <c:pt idx="23">
                  <c:v>12.349</c:v>
                </c:pt>
                <c:pt idx="24">
                  <c:v>7.4110000000000005</c:v>
                </c:pt>
                <c:pt idx="25">
                  <c:v>3.59</c:v>
                </c:pt>
                <c:pt idx="26">
                  <c:v>1.31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1.31</c:v>
                </c:pt>
                <c:pt idx="31">
                  <c:v>7.4110000000000005</c:v>
                </c:pt>
                <c:pt idx="32">
                  <c:v>12.349</c:v>
                </c:pt>
                <c:pt idx="33">
                  <c:v>23.250000000000004</c:v>
                </c:pt>
                <c:pt idx="34">
                  <c:v>31.566000000000003</c:v>
                </c:pt>
                <c:pt idx="35">
                  <c:v>41.459999999999994</c:v>
                </c:pt>
                <c:pt idx="36">
                  <c:v>41.459999999999994</c:v>
                </c:pt>
                <c:pt idx="37">
                  <c:v>41.459999999999994</c:v>
                </c:pt>
                <c:pt idx="38">
                  <c:v>41.459999999999994</c:v>
                </c:pt>
                <c:pt idx="39">
                  <c:v>31.566000000000003</c:v>
                </c:pt>
                <c:pt idx="40">
                  <c:v>23.250000000000004</c:v>
                </c:pt>
                <c:pt idx="41">
                  <c:v>16.324000000000002</c:v>
                </c:pt>
                <c:pt idx="42">
                  <c:v>12.349</c:v>
                </c:pt>
                <c:pt idx="43">
                  <c:v>12.349</c:v>
                </c:pt>
                <c:pt idx="44">
                  <c:v>12.349</c:v>
                </c:pt>
                <c:pt idx="45">
                  <c:v>17.565999999999999</c:v>
                </c:pt>
                <c:pt idx="46">
                  <c:v>28.465</c:v>
                </c:pt>
                <c:pt idx="47">
                  <c:v>38.544999999999995</c:v>
                </c:pt>
                <c:pt idx="48">
                  <c:v>38.544999999999995</c:v>
                </c:pt>
                <c:pt idx="49">
                  <c:v>38.544999999999995</c:v>
                </c:pt>
                <c:pt idx="50">
                  <c:v>38.544999999999995</c:v>
                </c:pt>
                <c:pt idx="51">
                  <c:v>22.497000000000003</c:v>
                </c:pt>
                <c:pt idx="52">
                  <c:v>15.102</c:v>
                </c:pt>
                <c:pt idx="53">
                  <c:v>9.1110000000000007</c:v>
                </c:pt>
                <c:pt idx="54">
                  <c:v>4.9080000000000004</c:v>
                </c:pt>
                <c:pt idx="55">
                  <c:v>4.47</c:v>
                </c:pt>
                <c:pt idx="56">
                  <c:v>4.47</c:v>
                </c:pt>
                <c:pt idx="57">
                  <c:v>9.4850000000000012</c:v>
                </c:pt>
                <c:pt idx="58">
                  <c:v>15.728</c:v>
                </c:pt>
                <c:pt idx="59">
                  <c:v>29.592000000000002</c:v>
                </c:pt>
                <c:pt idx="60">
                  <c:v>51.224000000000004</c:v>
                </c:pt>
                <c:pt idx="61">
                  <c:v>67.24499999999999</c:v>
                </c:pt>
                <c:pt idx="62">
                  <c:v>101.629</c:v>
                </c:pt>
                <c:pt idx="63">
                  <c:v>101.629</c:v>
                </c:pt>
                <c:pt idx="64">
                  <c:v>82.430999999999997</c:v>
                </c:pt>
                <c:pt idx="65">
                  <c:v>82.430999999999997</c:v>
                </c:pt>
                <c:pt idx="66">
                  <c:v>82.430999999999997</c:v>
                </c:pt>
                <c:pt idx="67">
                  <c:v>82.430999999999997</c:v>
                </c:pt>
                <c:pt idx="68">
                  <c:v>82.430999999999997</c:v>
                </c:pt>
                <c:pt idx="69">
                  <c:v>82.430999999999997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45444.083333333336</c:v>
                </c:pt>
                <c:pt idx="1">
                  <c:v>45444.125</c:v>
                </c:pt>
                <c:pt idx="2">
                  <c:v>45444.166666666664</c:v>
                </c:pt>
                <c:pt idx="3">
                  <c:v>45444.208333333328</c:v>
                </c:pt>
                <c:pt idx="4">
                  <c:v>45444.249999999993</c:v>
                </c:pt>
                <c:pt idx="5">
                  <c:v>45444.291666666657</c:v>
                </c:pt>
                <c:pt idx="6">
                  <c:v>45444.333333333321</c:v>
                </c:pt>
                <c:pt idx="7">
                  <c:v>45444.374999999985</c:v>
                </c:pt>
                <c:pt idx="8">
                  <c:v>45444.41666666665</c:v>
                </c:pt>
                <c:pt idx="9">
                  <c:v>45444.458333333314</c:v>
                </c:pt>
                <c:pt idx="10">
                  <c:v>45444.499999999978</c:v>
                </c:pt>
                <c:pt idx="11">
                  <c:v>45444.541666666642</c:v>
                </c:pt>
                <c:pt idx="12">
                  <c:v>45444.583333333307</c:v>
                </c:pt>
                <c:pt idx="13">
                  <c:v>45444.624999999971</c:v>
                </c:pt>
                <c:pt idx="14">
                  <c:v>45444.666666666635</c:v>
                </c:pt>
                <c:pt idx="15">
                  <c:v>45444.708333333299</c:v>
                </c:pt>
                <c:pt idx="16">
                  <c:v>45444.749999999964</c:v>
                </c:pt>
                <c:pt idx="17">
                  <c:v>45444.791666666628</c:v>
                </c:pt>
                <c:pt idx="18">
                  <c:v>45444.833333333292</c:v>
                </c:pt>
                <c:pt idx="19">
                  <c:v>45444.874999999956</c:v>
                </c:pt>
                <c:pt idx="20">
                  <c:v>45444.916666666621</c:v>
                </c:pt>
                <c:pt idx="21">
                  <c:v>45444.958333333285</c:v>
                </c:pt>
                <c:pt idx="22">
                  <c:v>45444.999999999949</c:v>
                </c:pt>
                <c:pt idx="23">
                  <c:v>45445.041666666613</c:v>
                </c:pt>
                <c:pt idx="24">
                  <c:v>45445.083333333278</c:v>
                </c:pt>
                <c:pt idx="25">
                  <c:v>45445.124999999942</c:v>
                </c:pt>
                <c:pt idx="26">
                  <c:v>45445.166666666606</c:v>
                </c:pt>
                <c:pt idx="27">
                  <c:v>45445.20833333327</c:v>
                </c:pt>
                <c:pt idx="28">
                  <c:v>45445.249999999935</c:v>
                </c:pt>
                <c:pt idx="29">
                  <c:v>45445.291666666599</c:v>
                </c:pt>
                <c:pt idx="30">
                  <c:v>45445.333333333263</c:v>
                </c:pt>
                <c:pt idx="31">
                  <c:v>45445.374999999927</c:v>
                </c:pt>
                <c:pt idx="32">
                  <c:v>45445.416666666591</c:v>
                </c:pt>
                <c:pt idx="33">
                  <c:v>45445.458333333256</c:v>
                </c:pt>
                <c:pt idx="34">
                  <c:v>45445.49999999992</c:v>
                </c:pt>
                <c:pt idx="35">
                  <c:v>45445.541666666584</c:v>
                </c:pt>
                <c:pt idx="36">
                  <c:v>45445.583333333248</c:v>
                </c:pt>
                <c:pt idx="37">
                  <c:v>45445.624999999913</c:v>
                </c:pt>
                <c:pt idx="38">
                  <c:v>45445.666666666577</c:v>
                </c:pt>
                <c:pt idx="39">
                  <c:v>45445.708333333241</c:v>
                </c:pt>
                <c:pt idx="40">
                  <c:v>45445.749999999905</c:v>
                </c:pt>
                <c:pt idx="41">
                  <c:v>45445.79166666657</c:v>
                </c:pt>
                <c:pt idx="42">
                  <c:v>45445.833333333234</c:v>
                </c:pt>
                <c:pt idx="43">
                  <c:v>45445.874999999898</c:v>
                </c:pt>
                <c:pt idx="44">
                  <c:v>45445.916666666562</c:v>
                </c:pt>
                <c:pt idx="45">
                  <c:v>45445.958333333227</c:v>
                </c:pt>
                <c:pt idx="46">
                  <c:v>45445.999999999891</c:v>
                </c:pt>
                <c:pt idx="47">
                  <c:v>45446.041666666555</c:v>
                </c:pt>
                <c:pt idx="48">
                  <c:v>45446.083333333219</c:v>
                </c:pt>
                <c:pt idx="49">
                  <c:v>45446.124999999884</c:v>
                </c:pt>
                <c:pt idx="50">
                  <c:v>45446.166666666548</c:v>
                </c:pt>
                <c:pt idx="51">
                  <c:v>45446.208333333212</c:v>
                </c:pt>
                <c:pt idx="52">
                  <c:v>45446.249999999876</c:v>
                </c:pt>
                <c:pt idx="53">
                  <c:v>45446.291666666541</c:v>
                </c:pt>
                <c:pt idx="54">
                  <c:v>45446.333333333205</c:v>
                </c:pt>
                <c:pt idx="55">
                  <c:v>45446.374999999869</c:v>
                </c:pt>
                <c:pt idx="56">
                  <c:v>45446.416666666533</c:v>
                </c:pt>
                <c:pt idx="57">
                  <c:v>45446.458333333198</c:v>
                </c:pt>
                <c:pt idx="58">
                  <c:v>45446.499999999862</c:v>
                </c:pt>
                <c:pt idx="59">
                  <c:v>45446.541666666526</c:v>
                </c:pt>
                <c:pt idx="60">
                  <c:v>45446.58333333319</c:v>
                </c:pt>
                <c:pt idx="61">
                  <c:v>45446.624999999854</c:v>
                </c:pt>
                <c:pt idx="62">
                  <c:v>45446.666666666519</c:v>
                </c:pt>
                <c:pt idx="63">
                  <c:v>45446.708333333183</c:v>
                </c:pt>
                <c:pt idx="64">
                  <c:v>45446.749999999847</c:v>
                </c:pt>
                <c:pt idx="65">
                  <c:v>45446.791666666511</c:v>
                </c:pt>
                <c:pt idx="66">
                  <c:v>45446.833333333176</c:v>
                </c:pt>
                <c:pt idx="67">
                  <c:v>45446.87499999984</c:v>
                </c:pt>
                <c:pt idx="68">
                  <c:v>45446.916666666504</c:v>
                </c:pt>
                <c:pt idx="69">
                  <c:v>45446.958333333168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7.7</c:v>
                </c:pt>
                <c:pt idx="1">
                  <c:v>9.6</c:v>
                </c:pt>
                <c:pt idx="2">
                  <c:v>10.6</c:v>
                </c:pt>
                <c:pt idx="3">
                  <c:v>10.6</c:v>
                </c:pt>
                <c:pt idx="4">
                  <c:v>10.3</c:v>
                </c:pt>
                <c:pt idx="5">
                  <c:v>9.9</c:v>
                </c:pt>
                <c:pt idx="6">
                  <c:v>9.6</c:v>
                </c:pt>
                <c:pt idx="7">
                  <c:v>9.3000000000000007</c:v>
                </c:pt>
                <c:pt idx="8">
                  <c:v>9.3000000000000007</c:v>
                </c:pt>
                <c:pt idx="9">
                  <c:v>9.5</c:v>
                </c:pt>
                <c:pt idx="10">
                  <c:v>8.8000000000000007</c:v>
                </c:pt>
                <c:pt idx="11">
                  <c:v>9.1999999999999993</c:v>
                </c:pt>
                <c:pt idx="12">
                  <c:v>9.4</c:v>
                </c:pt>
                <c:pt idx="13">
                  <c:v>9.1999999999999993</c:v>
                </c:pt>
                <c:pt idx="14">
                  <c:v>8.3000000000000007</c:v>
                </c:pt>
                <c:pt idx="15">
                  <c:v>7.4</c:v>
                </c:pt>
                <c:pt idx="16">
                  <c:v>6</c:v>
                </c:pt>
                <c:pt idx="17">
                  <c:v>5.9</c:v>
                </c:pt>
                <c:pt idx="18">
                  <c:v>6</c:v>
                </c:pt>
                <c:pt idx="19">
                  <c:v>6.2</c:v>
                </c:pt>
                <c:pt idx="20">
                  <c:v>6.3</c:v>
                </c:pt>
                <c:pt idx="21">
                  <c:v>5.7</c:v>
                </c:pt>
                <c:pt idx="22">
                  <c:v>5.0999999999999996</c:v>
                </c:pt>
                <c:pt idx="23">
                  <c:v>4.4000000000000004</c:v>
                </c:pt>
                <c:pt idx="24">
                  <c:v>3.8</c:v>
                </c:pt>
                <c:pt idx="25">
                  <c:v>3.2</c:v>
                </c:pt>
                <c:pt idx="26">
                  <c:v>2.7</c:v>
                </c:pt>
                <c:pt idx="27">
                  <c:v>2.5</c:v>
                </c:pt>
                <c:pt idx="28">
                  <c:v>2.4</c:v>
                </c:pt>
                <c:pt idx="29">
                  <c:v>2.2999999999999998</c:v>
                </c:pt>
                <c:pt idx="30">
                  <c:v>2.9</c:v>
                </c:pt>
                <c:pt idx="31">
                  <c:v>3.7</c:v>
                </c:pt>
                <c:pt idx="32">
                  <c:v>4.4000000000000004</c:v>
                </c:pt>
                <c:pt idx="33">
                  <c:v>5.0999999999999996</c:v>
                </c:pt>
                <c:pt idx="34">
                  <c:v>5.7</c:v>
                </c:pt>
                <c:pt idx="35">
                  <c:v>6.4</c:v>
                </c:pt>
                <c:pt idx="36">
                  <c:v>6.4</c:v>
                </c:pt>
                <c:pt idx="37">
                  <c:v>6.4</c:v>
                </c:pt>
                <c:pt idx="38">
                  <c:v>6.4</c:v>
                </c:pt>
                <c:pt idx="39">
                  <c:v>5.8</c:v>
                </c:pt>
                <c:pt idx="40">
                  <c:v>5.2</c:v>
                </c:pt>
                <c:pt idx="41">
                  <c:v>4.5999999999999996</c:v>
                </c:pt>
                <c:pt idx="42">
                  <c:v>4.4000000000000004</c:v>
                </c:pt>
                <c:pt idx="43">
                  <c:v>4.3</c:v>
                </c:pt>
                <c:pt idx="44">
                  <c:v>4.2</c:v>
                </c:pt>
                <c:pt idx="45">
                  <c:v>4.7</c:v>
                </c:pt>
                <c:pt idx="46">
                  <c:v>5.2</c:v>
                </c:pt>
                <c:pt idx="47">
                  <c:v>5.7</c:v>
                </c:pt>
                <c:pt idx="48">
                  <c:v>5.7</c:v>
                </c:pt>
                <c:pt idx="49">
                  <c:v>5.7</c:v>
                </c:pt>
                <c:pt idx="50">
                  <c:v>5.8</c:v>
                </c:pt>
                <c:pt idx="51">
                  <c:v>5</c:v>
                </c:pt>
                <c:pt idx="52">
                  <c:v>4.3</c:v>
                </c:pt>
                <c:pt idx="53">
                  <c:v>3.6</c:v>
                </c:pt>
                <c:pt idx="54">
                  <c:v>3.5</c:v>
                </c:pt>
                <c:pt idx="55">
                  <c:v>3.4</c:v>
                </c:pt>
                <c:pt idx="56">
                  <c:v>3.3</c:v>
                </c:pt>
                <c:pt idx="57">
                  <c:v>3.9</c:v>
                </c:pt>
                <c:pt idx="58">
                  <c:v>4.5</c:v>
                </c:pt>
                <c:pt idx="59">
                  <c:v>5.0999999999999996</c:v>
                </c:pt>
                <c:pt idx="60">
                  <c:v>6.1</c:v>
                </c:pt>
                <c:pt idx="61">
                  <c:v>7</c:v>
                </c:pt>
                <c:pt idx="62">
                  <c:v>8</c:v>
                </c:pt>
                <c:pt idx="63">
                  <c:v>7.7</c:v>
                </c:pt>
                <c:pt idx="64">
                  <c:v>7.5</c:v>
                </c:pt>
                <c:pt idx="65">
                  <c:v>7.2</c:v>
                </c:pt>
                <c:pt idx="66">
                  <c:v>7.2</c:v>
                </c:pt>
                <c:pt idx="67">
                  <c:v>7.3</c:v>
                </c:pt>
                <c:pt idx="68">
                  <c:v>7.3</c:v>
                </c:pt>
                <c:pt idx="69">
                  <c:v>7.1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31 May - 09 Jun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45443.083333333336</c:v>
                </c:pt>
                <c:pt idx="1">
                  <c:v>45443.125</c:v>
                </c:pt>
                <c:pt idx="2">
                  <c:v>45443.166666666664</c:v>
                </c:pt>
                <c:pt idx="3">
                  <c:v>45443.208333333328</c:v>
                </c:pt>
                <c:pt idx="4">
                  <c:v>45443.249999999993</c:v>
                </c:pt>
                <c:pt idx="5">
                  <c:v>45443.291666666657</c:v>
                </c:pt>
                <c:pt idx="6">
                  <c:v>45443.333333333321</c:v>
                </c:pt>
                <c:pt idx="7">
                  <c:v>45443.374999999985</c:v>
                </c:pt>
                <c:pt idx="8">
                  <c:v>45443.41666666665</c:v>
                </c:pt>
                <c:pt idx="9">
                  <c:v>45443.458333333314</c:v>
                </c:pt>
                <c:pt idx="10">
                  <c:v>45443.499999999978</c:v>
                </c:pt>
                <c:pt idx="11">
                  <c:v>45443.541666666642</c:v>
                </c:pt>
                <c:pt idx="12">
                  <c:v>45443.583333333307</c:v>
                </c:pt>
                <c:pt idx="13">
                  <c:v>45443.624999999971</c:v>
                </c:pt>
                <c:pt idx="14">
                  <c:v>45443.666666666635</c:v>
                </c:pt>
                <c:pt idx="15">
                  <c:v>45443.708333333299</c:v>
                </c:pt>
                <c:pt idx="16">
                  <c:v>45443.749999999964</c:v>
                </c:pt>
                <c:pt idx="17">
                  <c:v>45443.791666666628</c:v>
                </c:pt>
                <c:pt idx="18">
                  <c:v>45443.833333333292</c:v>
                </c:pt>
                <c:pt idx="19">
                  <c:v>45443.874999999956</c:v>
                </c:pt>
                <c:pt idx="20">
                  <c:v>45443.916666666621</c:v>
                </c:pt>
                <c:pt idx="21">
                  <c:v>45443.958333333285</c:v>
                </c:pt>
                <c:pt idx="22">
                  <c:v>45443.999999999949</c:v>
                </c:pt>
                <c:pt idx="23">
                  <c:v>45444.041666666613</c:v>
                </c:pt>
                <c:pt idx="24">
                  <c:v>45444.083333333278</c:v>
                </c:pt>
                <c:pt idx="25">
                  <c:v>45444.124999999942</c:v>
                </c:pt>
                <c:pt idx="26">
                  <c:v>45444.166666666606</c:v>
                </c:pt>
                <c:pt idx="27">
                  <c:v>45444.20833333327</c:v>
                </c:pt>
                <c:pt idx="28">
                  <c:v>45444.249999999935</c:v>
                </c:pt>
                <c:pt idx="29">
                  <c:v>45444.291666666599</c:v>
                </c:pt>
                <c:pt idx="30">
                  <c:v>45444.333333333263</c:v>
                </c:pt>
                <c:pt idx="31">
                  <c:v>45444.374999999927</c:v>
                </c:pt>
                <c:pt idx="32">
                  <c:v>45444.416666666591</c:v>
                </c:pt>
                <c:pt idx="33">
                  <c:v>45444.458333333256</c:v>
                </c:pt>
                <c:pt idx="34">
                  <c:v>45444.49999999992</c:v>
                </c:pt>
                <c:pt idx="35">
                  <c:v>45444.541666666584</c:v>
                </c:pt>
                <c:pt idx="36">
                  <c:v>45444.583333333248</c:v>
                </c:pt>
                <c:pt idx="37">
                  <c:v>45444.624999999913</c:v>
                </c:pt>
                <c:pt idx="38">
                  <c:v>45444.666666666577</c:v>
                </c:pt>
                <c:pt idx="39">
                  <c:v>45444.708333333241</c:v>
                </c:pt>
                <c:pt idx="40">
                  <c:v>45444.749999999905</c:v>
                </c:pt>
                <c:pt idx="41">
                  <c:v>45444.79166666657</c:v>
                </c:pt>
                <c:pt idx="42">
                  <c:v>45444.833333333234</c:v>
                </c:pt>
                <c:pt idx="43">
                  <c:v>45444.874999999898</c:v>
                </c:pt>
                <c:pt idx="44">
                  <c:v>45444.916666666562</c:v>
                </c:pt>
                <c:pt idx="45">
                  <c:v>45444.958333333227</c:v>
                </c:pt>
                <c:pt idx="46">
                  <c:v>45444.999999999891</c:v>
                </c:pt>
                <c:pt idx="47">
                  <c:v>45445.041666666555</c:v>
                </c:pt>
                <c:pt idx="48">
                  <c:v>45445.083333333219</c:v>
                </c:pt>
                <c:pt idx="49">
                  <c:v>45445.124999999884</c:v>
                </c:pt>
                <c:pt idx="50">
                  <c:v>45445.166666666548</c:v>
                </c:pt>
                <c:pt idx="51">
                  <c:v>45445.208333333212</c:v>
                </c:pt>
                <c:pt idx="52">
                  <c:v>45445.249999999876</c:v>
                </c:pt>
                <c:pt idx="53">
                  <c:v>45445.291666666541</c:v>
                </c:pt>
                <c:pt idx="54">
                  <c:v>45445.333333333205</c:v>
                </c:pt>
                <c:pt idx="55">
                  <c:v>45445.374999999869</c:v>
                </c:pt>
                <c:pt idx="56">
                  <c:v>45445.416666666533</c:v>
                </c:pt>
                <c:pt idx="57">
                  <c:v>45445.458333333198</c:v>
                </c:pt>
                <c:pt idx="58">
                  <c:v>45445.499999999862</c:v>
                </c:pt>
                <c:pt idx="59">
                  <c:v>45445.541666666526</c:v>
                </c:pt>
                <c:pt idx="60">
                  <c:v>45445.58333333319</c:v>
                </c:pt>
                <c:pt idx="61">
                  <c:v>45445.624999999854</c:v>
                </c:pt>
                <c:pt idx="62">
                  <c:v>45445.666666666519</c:v>
                </c:pt>
                <c:pt idx="63">
                  <c:v>45445.708333333183</c:v>
                </c:pt>
                <c:pt idx="64">
                  <c:v>45445.749999999847</c:v>
                </c:pt>
                <c:pt idx="65">
                  <c:v>45445.791666666511</c:v>
                </c:pt>
                <c:pt idx="66">
                  <c:v>45445.833333333176</c:v>
                </c:pt>
                <c:pt idx="67">
                  <c:v>45445.87499999984</c:v>
                </c:pt>
                <c:pt idx="68">
                  <c:v>45445.916666666504</c:v>
                </c:pt>
                <c:pt idx="69">
                  <c:v>45445.958333333168</c:v>
                </c:pt>
                <c:pt idx="70">
                  <c:v>45445.999999999833</c:v>
                </c:pt>
                <c:pt idx="71">
                  <c:v>45446.041666666497</c:v>
                </c:pt>
                <c:pt idx="72">
                  <c:v>45446.083333333161</c:v>
                </c:pt>
                <c:pt idx="73">
                  <c:v>45446.124999999825</c:v>
                </c:pt>
                <c:pt idx="74">
                  <c:v>45446.16666666649</c:v>
                </c:pt>
                <c:pt idx="75">
                  <c:v>45446.208333333154</c:v>
                </c:pt>
                <c:pt idx="76">
                  <c:v>45446.249999999818</c:v>
                </c:pt>
                <c:pt idx="77">
                  <c:v>45446.291666666482</c:v>
                </c:pt>
                <c:pt idx="78">
                  <c:v>45446.333333333147</c:v>
                </c:pt>
                <c:pt idx="79">
                  <c:v>45446.374999999811</c:v>
                </c:pt>
                <c:pt idx="80">
                  <c:v>45446.416666666475</c:v>
                </c:pt>
                <c:pt idx="81">
                  <c:v>45446.458333333139</c:v>
                </c:pt>
                <c:pt idx="82">
                  <c:v>45446.499999999804</c:v>
                </c:pt>
                <c:pt idx="83">
                  <c:v>45446.541666666468</c:v>
                </c:pt>
                <c:pt idx="84">
                  <c:v>45446.583333333132</c:v>
                </c:pt>
                <c:pt idx="85">
                  <c:v>45446.624999999796</c:v>
                </c:pt>
                <c:pt idx="86">
                  <c:v>45446.666666666461</c:v>
                </c:pt>
                <c:pt idx="87">
                  <c:v>45446.708333333125</c:v>
                </c:pt>
                <c:pt idx="88">
                  <c:v>45446.749999999789</c:v>
                </c:pt>
                <c:pt idx="89">
                  <c:v>45446.791666666453</c:v>
                </c:pt>
                <c:pt idx="90">
                  <c:v>45446.833333333117</c:v>
                </c:pt>
                <c:pt idx="91">
                  <c:v>45446.874999999782</c:v>
                </c:pt>
                <c:pt idx="92">
                  <c:v>45446.916666666446</c:v>
                </c:pt>
                <c:pt idx="93">
                  <c:v>45446.95833333311</c:v>
                </c:pt>
                <c:pt idx="94">
                  <c:v>45446.999999999774</c:v>
                </c:pt>
                <c:pt idx="95">
                  <c:v>45447.041666666439</c:v>
                </c:pt>
                <c:pt idx="96">
                  <c:v>45447.083333333103</c:v>
                </c:pt>
                <c:pt idx="97">
                  <c:v>45447.124999999767</c:v>
                </c:pt>
                <c:pt idx="98">
                  <c:v>45447.166666666431</c:v>
                </c:pt>
                <c:pt idx="99">
                  <c:v>45447.208333333096</c:v>
                </c:pt>
                <c:pt idx="100">
                  <c:v>45447.24999999976</c:v>
                </c:pt>
                <c:pt idx="101">
                  <c:v>45447.291666666424</c:v>
                </c:pt>
                <c:pt idx="102">
                  <c:v>45447.333333333088</c:v>
                </c:pt>
                <c:pt idx="103">
                  <c:v>45447.374999999753</c:v>
                </c:pt>
                <c:pt idx="104">
                  <c:v>45447.416666666417</c:v>
                </c:pt>
                <c:pt idx="105">
                  <c:v>45447.458333333081</c:v>
                </c:pt>
                <c:pt idx="106">
                  <c:v>45447.499999999745</c:v>
                </c:pt>
                <c:pt idx="107">
                  <c:v>45447.54166666641</c:v>
                </c:pt>
                <c:pt idx="108">
                  <c:v>45447.583333333074</c:v>
                </c:pt>
                <c:pt idx="109">
                  <c:v>45447.624999999738</c:v>
                </c:pt>
                <c:pt idx="110">
                  <c:v>45447.666666666402</c:v>
                </c:pt>
                <c:pt idx="111">
                  <c:v>45447.708333333067</c:v>
                </c:pt>
                <c:pt idx="112">
                  <c:v>45447.749999999731</c:v>
                </c:pt>
                <c:pt idx="113">
                  <c:v>45447.791666666395</c:v>
                </c:pt>
                <c:pt idx="114">
                  <c:v>45447.833333333059</c:v>
                </c:pt>
                <c:pt idx="115">
                  <c:v>45447.874999999724</c:v>
                </c:pt>
                <c:pt idx="116">
                  <c:v>45447.916666666388</c:v>
                </c:pt>
                <c:pt idx="117">
                  <c:v>45447.958333333052</c:v>
                </c:pt>
                <c:pt idx="118">
                  <c:v>45447.999999999716</c:v>
                </c:pt>
                <c:pt idx="119">
                  <c:v>45448.04166666638</c:v>
                </c:pt>
                <c:pt idx="120">
                  <c:v>45448.083333333045</c:v>
                </c:pt>
                <c:pt idx="121">
                  <c:v>45448.124999999709</c:v>
                </c:pt>
                <c:pt idx="122">
                  <c:v>45448.166666666373</c:v>
                </c:pt>
                <c:pt idx="123">
                  <c:v>45448.208333333037</c:v>
                </c:pt>
                <c:pt idx="124">
                  <c:v>45448.249999999702</c:v>
                </c:pt>
                <c:pt idx="125">
                  <c:v>45448.291666666366</c:v>
                </c:pt>
                <c:pt idx="126">
                  <c:v>45448.33333333303</c:v>
                </c:pt>
                <c:pt idx="127">
                  <c:v>45448.374999999694</c:v>
                </c:pt>
                <c:pt idx="128">
                  <c:v>45448.416666666359</c:v>
                </c:pt>
                <c:pt idx="129">
                  <c:v>45448.458333333023</c:v>
                </c:pt>
                <c:pt idx="130">
                  <c:v>45448.499999999687</c:v>
                </c:pt>
                <c:pt idx="131">
                  <c:v>45448.541666666351</c:v>
                </c:pt>
                <c:pt idx="132">
                  <c:v>45448.583333333016</c:v>
                </c:pt>
                <c:pt idx="133">
                  <c:v>45448.62499999968</c:v>
                </c:pt>
                <c:pt idx="134">
                  <c:v>45448.666666666344</c:v>
                </c:pt>
                <c:pt idx="135">
                  <c:v>45448.708333333008</c:v>
                </c:pt>
                <c:pt idx="136">
                  <c:v>45448.749999999673</c:v>
                </c:pt>
                <c:pt idx="137">
                  <c:v>45448.791666666337</c:v>
                </c:pt>
                <c:pt idx="138">
                  <c:v>45448.833333333001</c:v>
                </c:pt>
                <c:pt idx="139">
                  <c:v>45448.874999999665</c:v>
                </c:pt>
                <c:pt idx="140">
                  <c:v>45448.91666666633</c:v>
                </c:pt>
                <c:pt idx="141">
                  <c:v>45448.958333332994</c:v>
                </c:pt>
                <c:pt idx="142">
                  <c:v>45448.999999999658</c:v>
                </c:pt>
                <c:pt idx="143">
                  <c:v>45449.041666666322</c:v>
                </c:pt>
                <c:pt idx="144">
                  <c:v>45449.083333332987</c:v>
                </c:pt>
                <c:pt idx="145">
                  <c:v>45449.124999999651</c:v>
                </c:pt>
                <c:pt idx="146">
                  <c:v>45449.166666666315</c:v>
                </c:pt>
                <c:pt idx="147">
                  <c:v>45449.208333332979</c:v>
                </c:pt>
                <c:pt idx="148">
                  <c:v>45449.249999999643</c:v>
                </c:pt>
                <c:pt idx="149">
                  <c:v>45449.291666666308</c:v>
                </c:pt>
                <c:pt idx="150">
                  <c:v>45449.333333332972</c:v>
                </c:pt>
                <c:pt idx="151">
                  <c:v>45449.374999999636</c:v>
                </c:pt>
                <c:pt idx="152">
                  <c:v>45449.4166666663</c:v>
                </c:pt>
                <c:pt idx="153">
                  <c:v>45449.458333332965</c:v>
                </c:pt>
                <c:pt idx="154">
                  <c:v>45449.499999999629</c:v>
                </c:pt>
                <c:pt idx="155">
                  <c:v>45449.541666666293</c:v>
                </c:pt>
                <c:pt idx="156">
                  <c:v>45449.583333332957</c:v>
                </c:pt>
                <c:pt idx="157">
                  <c:v>45449.624999999622</c:v>
                </c:pt>
                <c:pt idx="158">
                  <c:v>45449.666666666286</c:v>
                </c:pt>
                <c:pt idx="159">
                  <c:v>45449.70833333295</c:v>
                </c:pt>
                <c:pt idx="160">
                  <c:v>45449.749999999614</c:v>
                </c:pt>
                <c:pt idx="161">
                  <c:v>45449.791666666279</c:v>
                </c:pt>
                <c:pt idx="162">
                  <c:v>45449.833333332943</c:v>
                </c:pt>
                <c:pt idx="163">
                  <c:v>45449.874999999607</c:v>
                </c:pt>
                <c:pt idx="164">
                  <c:v>45449.916666666271</c:v>
                </c:pt>
                <c:pt idx="165">
                  <c:v>45449.958333332936</c:v>
                </c:pt>
                <c:pt idx="166">
                  <c:v>45449.9999999996</c:v>
                </c:pt>
                <c:pt idx="167">
                  <c:v>45450.041666666264</c:v>
                </c:pt>
                <c:pt idx="168">
                  <c:v>45450.083333332928</c:v>
                </c:pt>
                <c:pt idx="169">
                  <c:v>45450.124999999593</c:v>
                </c:pt>
                <c:pt idx="170">
                  <c:v>45450.166666666257</c:v>
                </c:pt>
                <c:pt idx="171">
                  <c:v>45450.208333332921</c:v>
                </c:pt>
                <c:pt idx="172">
                  <c:v>45450.249999999585</c:v>
                </c:pt>
                <c:pt idx="173">
                  <c:v>45450.29166666625</c:v>
                </c:pt>
                <c:pt idx="174">
                  <c:v>45450.333333332914</c:v>
                </c:pt>
                <c:pt idx="175">
                  <c:v>45450.374999999578</c:v>
                </c:pt>
                <c:pt idx="176">
                  <c:v>45450.416666666242</c:v>
                </c:pt>
                <c:pt idx="177">
                  <c:v>45450.458333332906</c:v>
                </c:pt>
                <c:pt idx="178">
                  <c:v>45450.499999999571</c:v>
                </c:pt>
                <c:pt idx="179">
                  <c:v>45450.541666666235</c:v>
                </c:pt>
                <c:pt idx="180">
                  <c:v>45450.583333332899</c:v>
                </c:pt>
                <c:pt idx="181">
                  <c:v>45450.624999999563</c:v>
                </c:pt>
                <c:pt idx="182">
                  <c:v>45450.666666666228</c:v>
                </c:pt>
                <c:pt idx="183">
                  <c:v>45450.708333332892</c:v>
                </c:pt>
                <c:pt idx="184">
                  <c:v>45450.749999999556</c:v>
                </c:pt>
                <c:pt idx="185">
                  <c:v>45450.79166666622</c:v>
                </c:pt>
                <c:pt idx="186">
                  <c:v>45450.833333332885</c:v>
                </c:pt>
                <c:pt idx="187">
                  <c:v>45450.874999999549</c:v>
                </c:pt>
                <c:pt idx="188">
                  <c:v>45450.916666666213</c:v>
                </c:pt>
                <c:pt idx="189">
                  <c:v>45450.958333332877</c:v>
                </c:pt>
                <c:pt idx="190">
                  <c:v>45450.999999999542</c:v>
                </c:pt>
                <c:pt idx="191">
                  <c:v>45451.041666666206</c:v>
                </c:pt>
                <c:pt idx="192">
                  <c:v>45451.08333333287</c:v>
                </c:pt>
                <c:pt idx="193">
                  <c:v>45451.124999999534</c:v>
                </c:pt>
                <c:pt idx="194">
                  <c:v>45451.166666666199</c:v>
                </c:pt>
                <c:pt idx="195">
                  <c:v>45451.208333332863</c:v>
                </c:pt>
                <c:pt idx="196">
                  <c:v>45451.249999999527</c:v>
                </c:pt>
                <c:pt idx="197">
                  <c:v>45451.291666666191</c:v>
                </c:pt>
                <c:pt idx="198">
                  <c:v>45451.333333332856</c:v>
                </c:pt>
                <c:pt idx="199">
                  <c:v>45451.37499999952</c:v>
                </c:pt>
                <c:pt idx="200">
                  <c:v>45451.416666666184</c:v>
                </c:pt>
                <c:pt idx="201">
                  <c:v>45451.458333332848</c:v>
                </c:pt>
                <c:pt idx="202">
                  <c:v>45451.499999999513</c:v>
                </c:pt>
                <c:pt idx="203">
                  <c:v>45451.541666666177</c:v>
                </c:pt>
                <c:pt idx="204">
                  <c:v>45451.583333332841</c:v>
                </c:pt>
                <c:pt idx="205">
                  <c:v>45451.624999999505</c:v>
                </c:pt>
                <c:pt idx="206">
                  <c:v>45451.666666666169</c:v>
                </c:pt>
                <c:pt idx="207">
                  <c:v>45451.708333332834</c:v>
                </c:pt>
                <c:pt idx="208">
                  <c:v>45451.749999999498</c:v>
                </c:pt>
                <c:pt idx="209">
                  <c:v>45451.791666666162</c:v>
                </c:pt>
                <c:pt idx="210">
                  <c:v>45451.833333332826</c:v>
                </c:pt>
                <c:pt idx="211">
                  <c:v>45451.874999999491</c:v>
                </c:pt>
                <c:pt idx="212">
                  <c:v>45451.916666666155</c:v>
                </c:pt>
                <c:pt idx="213">
                  <c:v>45451.958333332819</c:v>
                </c:pt>
                <c:pt idx="214">
                  <c:v>45451.999999999483</c:v>
                </c:pt>
                <c:pt idx="215">
                  <c:v>45452.041666666148</c:v>
                </c:pt>
                <c:pt idx="216">
                  <c:v>45452.083333332812</c:v>
                </c:pt>
                <c:pt idx="217">
                  <c:v>45452.124999999476</c:v>
                </c:pt>
                <c:pt idx="218">
                  <c:v>45452.16666666614</c:v>
                </c:pt>
                <c:pt idx="219">
                  <c:v>45452.208333332805</c:v>
                </c:pt>
                <c:pt idx="220">
                  <c:v>45452.249999999469</c:v>
                </c:pt>
                <c:pt idx="221">
                  <c:v>45452.291666666133</c:v>
                </c:pt>
                <c:pt idx="222">
                  <c:v>45452.333333332797</c:v>
                </c:pt>
                <c:pt idx="223">
                  <c:v>45452.374999999462</c:v>
                </c:pt>
                <c:pt idx="224">
                  <c:v>45452.416666666126</c:v>
                </c:pt>
                <c:pt idx="225">
                  <c:v>45452.45833333279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45443.083333333336</c:v>
                </c:pt>
                <c:pt idx="1">
                  <c:v>45443.125</c:v>
                </c:pt>
                <c:pt idx="2">
                  <c:v>45443.166666666664</c:v>
                </c:pt>
                <c:pt idx="3">
                  <c:v>45443.208333333328</c:v>
                </c:pt>
                <c:pt idx="4">
                  <c:v>45443.249999999993</c:v>
                </c:pt>
                <c:pt idx="5">
                  <c:v>45443.291666666657</c:v>
                </c:pt>
                <c:pt idx="6">
                  <c:v>45443.333333333321</c:v>
                </c:pt>
                <c:pt idx="7">
                  <c:v>45443.374999999985</c:v>
                </c:pt>
                <c:pt idx="8">
                  <c:v>45443.41666666665</c:v>
                </c:pt>
                <c:pt idx="9">
                  <c:v>45443.458333333314</c:v>
                </c:pt>
                <c:pt idx="10">
                  <c:v>45443.499999999978</c:v>
                </c:pt>
                <c:pt idx="11">
                  <c:v>45443.541666666642</c:v>
                </c:pt>
                <c:pt idx="12">
                  <c:v>45443.583333333307</c:v>
                </c:pt>
                <c:pt idx="13">
                  <c:v>45443.624999999971</c:v>
                </c:pt>
                <c:pt idx="14">
                  <c:v>45443.666666666635</c:v>
                </c:pt>
                <c:pt idx="15">
                  <c:v>45443.708333333299</c:v>
                </c:pt>
                <c:pt idx="16">
                  <c:v>45443.749999999964</c:v>
                </c:pt>
                <c:pt idx="17">
                  <c:v>45443.791666666628</c:v>
                </c:pt>
                <c:pt idx="18">
                  <c:v>45443.833333333292</c:v>
                </c:pt>
                <c:pt idx="19">
                  <c:v>45443.874999999956</c:v>
                </c:pt>
                <c:pt idx="20">
                  <c:v>45443.916666666621</c:v>
                </c:pt>
                <c:pt idx="21">
                  <c:v>45443.958333333285</c:v>
                </c:pt>
                <c:pt idx="22">
                  <c:v>45443.999999999949</c:v>
                </c:pt>
                <c:pt idx="23">
                  <c:v>45444.041666666613</c:v>
                </c:pt>
                <c:pt idx="24">
                  <c:v>45444.083333333278</c:v>
                </c:pt>
                <c:pt idx="25">
                  <c:v>45444.124999999942</c:v>
                </c:pt>
                <c:pt idx="26">
                  <c:v>45444.166666666606</c:v>
                </c:pt>
                <c:pt idx="27">
                  <c:v>45444.20833333327</c:v>
                </c:pt>
                <c:pt idx="28">
                  <c:v>45444.249999999935</c:v>
                </c:pt>
                <c:pt idx="29">
                  <c:v>45444.291666666599</c:v>
                </c:pt>
                <c:pt idx="30">
                  <c:v>45444.333333333263</c:v>
                </c:pt>
                <c:pt idx="31">
                  <c:v>45444.374999999927</c:v>
                </c:pt>
                <c:pt idx="32">
                  <c:v>45444.416666666591</c:v>
                </c:pt>
                <c:pt idx="33">
                  <c:v>45444.458333333256</c:v>
                </c:pt>
                <c:pt idx="34">
                  <c:v>45444.49999999992</c:v>
                </c:pt>
                <c:pt idx="35">
                  <c:v>45444.541666666584</c:v>
                </c:pt>
                <c:pt idx="36">
                  <c:v>45444.583333333248</c:v>
                </c:pt>
                <c:pt idx="37">
                  <c:v>45444.624999999913</c:v>
                </c:pt>
                <c:pt idx="38">
                  <c:v>45444.666666666577</c:v>
                </c:pt>
                <c:pt idx="39">
                  <c:v>45444.708333333241</c:v>
                </c:pt>
                <c:pt idx="40">
                  <c:v>45444.749999999905</c:v>
                </c:pt>
                <c:pt idx="41">
                  <c:v>45444.79166666657</c:v>
                </c:pt>
                <c:pt idx="42">
                  <c:v>45444.833333333234</c:v>
                </c:pt>
                <c:pt idx="43">
                  <c:v>45444.874999999898</c:v>
                </c:pt>
                <c:pt idx="44">
                  <c:v>45444.916666666562</c:v>
                </c:pt>
                <c:pt idx="45">
                  <c:v>45444.958333333227</c:v>
                </c:pt>
                <c:pt idx="46">
                  <c:v>45444.999999999891</c:v>
                </c:pt>
                <c:pt idx="47">
                  <c:v>45445.041666666555</c:v>
                </c:pt>
                <c:pt idx="48">
                  <c:v>45445.083333333219</c:v>
                </c:pt>
                <c:pt idx="49">
                  <c:v>45445.124999999884</c:v>
                </c:pt>
                <c:pt idx="50">
                  <c:v>45445.166666666548</c:v>
                </c:pt>
                <c:pt idx="51">
                  <c:v>45445.208333333212</c:v>
                </c:pt>
                <c:pt idx="52">
                  <c:v>45445.249999999876</c:v>
                </c:pt>
                <c:pt idx="53">
                  <c:v>45445.291666666541</c:v>
                </c:pt>
                <c:pt idx="54">
                  <c:v>45445.333333333205</c:v>
                </c:pt>
                <c:pt idx="55">
                  <c:v>45445.374999999869</c:v>
                </c:pt>
                <c:pt idx="56">
                  <c:v>45445.416666666533</c:v>
                </c:pt>
                <c:pt idx="57">
                  <c:v>45445.458333333198</c:v>
                </c:pt>
                <c:pt idx="58">
                  <c:v>45445.499999999862</c:v>
                </c:pt>
                <c:pt idx="59">
                  <c:v>45445.541666666526</c:v>
                </c:pt>
                <c:pt idx="60">
                  <c:v>45445.58333333319</c:v>
                </c:pt>
                <c:pt idx="61">
                  <c:v>45445.624999999854</c:v>
                </c:pt>
                <c:pt idx="62">
                  <c:v>45445.666666666519</c:v>
                </c:pt>
                <c:pt idx="63">
                  <c:v>45445.708333333183</c:v>
                </c:pt>
                <c:pt idx="64">
                  <c:v>45445.749999999847</c:v>
                </c:pt>
                <c:pt idx="65">
                  <c:v>45445.791666666511</c:v>
                </c:pt>
                <c:pt idx="66">
                  <c:v>45445.833333333176</c:v>
                </c:pt>
                <c:pt idx="67">
                  <c:v>45445.87499999984</c:v>
                </c:pt>
                <c:pt idx="68">
                  <c:v>45445.916666666504</c:v>
                </c:pt>
                <c:pt idx="69">
                  <c:v>45445.958333333168</c:v>
                </c:pt>
                <c:pt idx="70">
                  <c:v>45445.999999999833</c:v>
                </c:pt>
                <c:pt idx="71">
                  <c:v>45446.041666666497</c:v>
                </c:pt>
                <c:pt idx="72">
                  <c:v>45446.083333333161</c:v>
                </c:pt>
                <c:pt idx="73">
                  <c:v>45446.124999999825</c:v>
                </c:pt>
                <c:pt idx="74">
                  <c:v>45446.16666666649</c:v>
                </c:pt>
                <c:pt idx="75">
                  <c:v>45446.208333333154</c:v>
                </c:pt>
                <c:pt idx="76">
                  <c:v>45446.249999999818</c:v>
                </c:pt>
                <c:pt idx="77">
                  <c:v>45446.291666666482</c:v>
                </c:pt>
                <c:pt idx="78">
                  <c:v>45446.333333333147</c:v>
                </c:pt>
                <c:pt idx="79">
                  <c:v>45446.374999999811</c:v>
                </c:pt>
                <c:pt idx="80">
                  <c:v>45446.416666666475</c:v>
                </c:pt>
                <c:pt idx="81">
                  <c:v>45446.458333333139</c:v>
                </c:pt>
                <c:pt idx="82">
                  <c:v>45446.499999999804</c:v>
                </c:pt>
                <c:pt idx="83">
                  <c:v>45446.541666666468</c:v>
                </c:pt>
                <c:pt idx="84">
                  <c:v>45446.583333333132</c:v>
                </c:pt>
                <c:pt idx="85">
                  <c:v>45446.624999999796</c:v>
                </c:pt>
                <c:pt idx="86">
                  <c:v>45446.666666666461</c:v>
                </c:pt>
                <c:pt idx="87">
                  <c:v>45446.708333333125</c:v>
                </c:pt>
                <c:pt idx="88">
                  <c:v>45446.749999999789</c:v>
                </c:pt>
                <c:pt idx="89">
                  <c:v>45446.791666666453</c:v>
                </c:pt>
                <c:pt idx="90">
                  <c:v>45446.833333333117</c:v>
                </c:pt>
                <c:pt idx="91">
                  <c:v>45446.874999999782</c:v>
                </c:pt>
                <c:pt idx="92">
                  <c:v>45446.916666666446</c:v>
                </c:pt>
                <c:pt idx="93">
                  <c:v>45446.95833333311</c:v>
                </c:pt>
                <c:pt idx="94">
                  <c:v>45446.999999999774</c:v>
                </c:pt>
                <c:pt idx="95">
                  <c:v>45447.041666666439</c:v>
                </c:pt>
                <c:pt idx="96">
                  <c:v>45447.083333333103</c:v>
                </c:pt>
                <c:pt idx="97">
                  <c:v>45447.124999999767</c:v>
                </c:pt>
                <c:pt idx="98">
                  <c:v>45447.166666666431</c:v>
                </c:pt>
                <c:pt idx="99">
                  <c:v>45447.208333333096</c:v>
                </c:pt>
                <c:pt idx="100">
                  <c:v>45447.24999999976</c:v>
                </c:pt>
                <c:pt idx="101">
                  <c:v>45447.291666666424</c:v>
                </c:pt>
                <c:pt idx="102">
                  <c:v>45447.333333333088</c:v>
                </c:pt>
                <c:pt idx="103">
                  <c:v>45447.374999999753</c:v>
                </c:pt>
                <c:pt idx="104">
                  <c:v>45447.416666666417</c:v>
                </c:pt>
                <c:pt idx="105">
                  <c:v>45447.458333333081</c:v>
                </c:pt>
                <c:pt idx="106">
                  <c:v>45447.499999999745</c:v>
                </c:pt>
                <c:pt idx="107">
                  <c:v>45447.54166666641</c:v>
                </c:pt>
                <c:pt idx="108">
                  <c:v>45447.583333333074</c:v>
                </c:pt>
                <c:pt idx="109">
                  <c:v>45447.624999999738</c:v>
                </c:pt>
                <c:pt idx="110">
                  <c:v>45447.666666666402</c:v>
                </c:pt>
                <c:pt idx="111">
                  <c:v>45447.708333333067</c:v>
                </c:pt>
                <c:pt idx="112">
                  <c:v>45447.749999999731</c:v>
                </c:pt>
                <c:pt idx="113">
                  <c:v>45447.791666666395</c:v>
                </c:pt>
                <c:pt idx="114">
                  <c:v>45447.833333333059</c:v>
                </c:pt>
                <c:pt idx="115">
                  <c:v>45447.874999999724</c:v>
                </c:pt>
                <c:pt idx="116">
                  <c:v>45447.916666666388</c:v>
                </c:pt>
                <c:pt idx="117">
                  <c:v>45447.958333333052</c:v>
                </c:pt>
                <c:pt idx="118">
                  <c:v>45447.999999999716</c:v>
                </c:pt>
                <c:pt idx="119">
                  <c:v>45448.04166666638</c:v>
                </c:pt>
                <c:pt idx="120">
                  <c:v>45448.083333333045</c:v>
                </c:pt>
                <c:pt idx="121">
                  <c:v>45448.124999999709</c:v>
                </c:pt>
                <c:pt idx="122">
                  <c:v>45448.166666666373</c:v>
                </c:pt>
                <c:pt idx="123">
                  <c:v>45448.208333333037</c:v>
                </c:pt>
                <c:pt idx="124">
                  <c:v>45448.249999999702</c:v>
                </c:pt>
                <c:pt idx="125">
                  <c:v>45448.291666666366</c:v>
                </c:pt>
                <c:pt idx="126">
                  <c:v>45448.33333333303</c:v>
                </c:pt>
                <c:pt idx="127">
                  <c:v>45448.374999999694</c:v>
                </c:pt>
                <c:pt idx="128">
                  <c:v>45448.416666666359</c:v>
                </c:pt>
                <c:pt idx="129">
                  <c:v>45448.458333333023</c:v>
                </c:pt>
                <c:pt idx="130">
                  <c:v>45448.499999999687</c:v>
                </c:pt>
                <c:pt idx="131">
                  <c:v>45448.541666666351</c:v>
                </c:pt>
                <c:pt idx="132">
                  <c:v>45448.583333333016</c:v>
                </c:pt>
                <c:pt idx="133">
                  <c:v>45448.62499999968</c:v>
                </c:pt>
                <c:pt idx="134">
                  <c:v>45448.666666666344</c:v>
                </c:pt>
                <c:pt idx="135">
                  <c:v>45448.708333333008</c:v>
                </c:pt>
                <c:pt idx="136">
                  <c:v>45448.749999999673</c:v>
                </c:pt>
                <c:pt idx="137">
                  <c:v>45448.791666666337</c:v>
                </c:pt>
                <c:pt idx="138">
                  <c:v>45448.833333333001</c:v>
                </c:pt>
                <c:pt idx="139">
                  <c:v>45448.874999999665</c:v>
                </c:pt>
                <c:pt idx="140">
                  <c:v>45448.91666666633</c:v>
                </c:pt>
                <c:pt idx="141">
                  <c:v>45448.958333332994</c:v>
                </c:pt>
                <c:pt idx="142">
                  <c:v>45448.999999999658</c:v>
                </c:pt>
                <c:pt idx="143">
                  <c:v>45449.041666666322</c:v>
                </c:pt>
                <c:pt idx="144">
                  <c:v>45449.083333332987</c:v>
                </c:pt>
                <c:pt idx="145">
                  <c:v>45449.124999999651</c:v>
                </c:pt>
                <c:pt idx="146">
                  <c:v>45449.166666666315</c:v>
                </c:pt>
                <c:pt idx="147">
                  <c:v>45449.208333332979</c:v>
                </c:pt>
                <c:pt idx="148">
                  <c:v>45449.249999999643</c:v>
                </c:pt>
                <c:pt idx="149">
                  <c:v>45449.291666666308</c:v>
                </c:pt>
                <c:pt idx="150">
                  <c:v>45449.333333332972</c:v>
                </c:pt>
                <c:pt idx="151">
                  <c:v>45449.374999999636</c:v>
                </c:pt>
                <c:pt idx="152">
                  <c:v>45449.4166666663</c:v>
                </c:pt>
                <c:pt idx="153">
                  <c:v>45449.458333332965</c:v>
                </c:pt>
                <c:pt idx="154">
                  <c:v>45449.499999999629</c:v>
                </c:pt>
                <c:pt idx="155">
                  <c:v>45449.541666666293</c:v>
                </c:pt>
                <c:pt idx="156">
                  <c:v>45449.583333332957</c:v>
                </c:pt>
                <c:pt idx="157">
                  <c:v>45449.624999999622</c:v>
                </c:pt>
                <c:pt idx="158">
                  <c:v>45449.666666666286</c:v>
                </c:pt>
                <c:pt idx="159">
                  <c:v>45449.70833333295</c:v>
                </c:pt>
                <c:pt idx="160">
                  <c:v>45449.749999999614</c:v>
                </c:pt>
                <c:pt idx="161">
                  <c:v>45449.791666666279</c:v>
                </c:pt>
                <c:pt idx="162">
                  <c:v>45449.833333332943</c:v>
                </c:pt>
                <c:pt idx="163">
                  <c:v>45449.874999999607</c:v>
                </c:pt>
                <c:pt idx="164">
                  <c:v>45449.916666666271</c:v>
                </c:pt>
                <c:pt idx="165">
                  <c:v>45449.958333332936</c:v>
                </c:pt>
                <c:pt idx="166">
                  <c:v>45449.9999999996</c:v>
                </c:pt>
                <c:pt idx="167">
                  <c:v>45450.041666666264</c:v>
                </c:pt>
                <c:pt idx="168">
                  <c:v>45450.083333332928</c:v>
                </c:pt>
                <c:pt idx="169">
                  <c:v>45450.124999999593</c:v>
                </c:pt>
                <c:pt idx="170">
                  <c:v>45450.166666666257</c:v>
                </c:pt>
                <c:pt idx="171">
                  <c:v>45450.208333332921</c:v>
                </c:pt>
                <c:pt idx="172">
                  <c:v>45450.249999999585</c:v>
                </c:pt>
                <c:pt idx="173">
                  <c:v>45450.29166666625</c:v>
                </c:pt>
                <c:pt idx="174">
                  <c:v>45450.333333332914</c:v>
                </c:pt>
                <c:pt idx="175">
                  <c:v>45450.374999999578</c:v>
                </c:pt>
                <c:pt idx="176">
                  <c:v>45450.416666666242</c:v>
                </c:pt>
                <c:pt idx="177">
                  <c:v>45450.458333332906</c:v>
                </c:pt>
                <c:pt idx="178">
                  <c:v>45450.499999999571</c:v>
                </c:pt>
                <c:pt idx="179">
                  <c:v>45450.541666666235</c:v>
                </c:pt>
                <c:pt idx="180">
                  <c:v>45450.583333332899</c:v>
                </c:pt>
                <c:pt idx="181">
                  <c:v>45450.624999999563</c:v>
                </c:pt>
                <c:pt idx="182">
                  <c:v>45450.666666666228</c:v>
                </c:pt>
                <c:pt idx="183">
                  <c:v>45450.708333332892</c:v>
                </c:pt>
                <c:pt idx="184">
                  <c:v>45450.749999999556</c:v>
                </c:pt>
                <c:pt idx="185">
                  <c:v>45450.79166666622</c:v>
                </c:pt>
                <c:pt idx="186">
                  <c:v>45450.833333332885</c:v>
                </c:pt>
                <c:pt idx="187">
                  <c:v>45450.874999999549</c:v>
                </c:pt>
                <c:pt idx="188">
                  <c:v>45450.916666666213</c:v>
                </c:pt>
                <c:pt idx="189">
                  <c:v>45450.958333332877</c:v>
                </c:pt>
                <c:pt idx="190">
                  <c:v>45450.999999999542</c:v>
                </c:pt>
                <c:pt idx="191">
                  <c:v>45451.041666666206</c:v>
                </c:pt>
                <c:pt idx="192">
                  <c:v>45451.08333333287</c:v>
                </c:pt>
                <c:pt idx="193">
                  <c:v>45451.124999999534</c:v>
                </c:pt>
                <c:pt idx="194">
                  <c:v>45451.166666666199</c:v>
                </c:pt>
                <c:pt idx="195">
                  <c:v>45451.208333332863</c:v>
                </c:pt>
                <c:pt idx="196">
                  <c:v>45451.249999999527</c:v>
                </c:pt>
                <c:pt idx="197">
                  <c:v>45451.291666666191</c:v>
                </c:pt>
                <c:pt idx="198">
                  <c:v>45451.333333332856</c:v>
                </c:pt>
                <c:pt idx="199">
                  <c:v>45451.37499999952</c:v>
                </c:pt>
                <c:pt idx="200">
                  <c:v>45451.416666666184</c:v>
                </c:pt>
                <c:pt idx="201">
                  <c:v>45451.458333332848</c:v>
                </c:pt>
                <c:pt idx="202">
                  <c:v>45451.499999999513</c:v>
                </c:pt>
                <c:pt idx="203">
                  <c:v>45451.541666666177</c:v>
                </c:pt>
                <c:pt idx="204">
                  <c:v>45451.583333332841</c:v>
                </c:pt>
                <c:pt idx="205">
                  <c:v>45451.624999999505</c:v>
                </c:pt>
                <c:pt idx="206">
                  <c:v>45451.666666666169</c:v>
                </c:pt>
                <c:pt idx="207">
                  <c:v>45451.708333332834</c:v>
                </c:pt>
                <c:pt idx="208">
                  <c:v>45451.749999999498</c:v>
                </c:pt>
                <c:pt idx="209">
                  <c:v>45451.791666666162</c:v>
                </c:pt>
                <c:pt idx="210">
                  <c:v>45451.833333332826</c:v>
                </c:pt>
                <c:pt idx="211">
                  <c:v>45451.874999999491</c:v>
                </c:pt>
                <c:pt idx="212">
                  <c:v>45451.916666666155</c:v>
                </c:pt>
                <c:pt idx="213">
                  <c:v>45451.958333332819</c:v>
                </c:pt>
                <c:pt idx="214">
                  <c:v>45451.999999999483</c:v>
                </c:pt>
                <c:pt idx="215">
                  <c:v>45452.041666666148</c:v>
                </c:pt>
                <c:pt idx="216">
                  <c:v>45452.083333332812</c:v>
                </c:pt>
                <c:pt idx="217">
                  <c:v>45452.124999999476</c:v>
                </c:pt>
                <c:pt idx="218">
                  <c:v>45452.16666666614</c:v>
                </c:pt>
                <c:pt idx="219">
                  <c:v>45452.208333332805</c:v>
                </c:pt>
                <c:pt idx="220">
                  <c:v>45452.249999999469</c:v>
                </c:pt>
                <c:pt idx="221">
                  <c:v>45452.291666666133</c:v>
                </c:pt>
                <c:pt idx="222">
                  <c:v>45452.333333332797</c:v>
                </c:pt>
                <c:pt idx="223">
                  <c:v>45452.374999999462</c:v>
                </c:pt>
                <c:pt idx="224">
                  <c:v>45452.416666666126</c:v>
                </c:pt>
                <c:pt idx="225">
                  <c:v>45452.45833333279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8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'Plantilla Datos'!D9</calculatedColumnFormula>
    </tableColumn>
    <tableColumn id="4" xr3:uid="{985E9C16-A8DE-47E3-B641-B55EDEDD62BA}" name="Darwin Gusts_x000a_m/s" dataDxfId="88">
      <calculatedColumnFormula>'Plantilla Datos'!E9</calculatedColumnFormula>
    </tableColumn>
    <tableColumn id="6" xr3:uid="{3C0EA449-1FB9-4674-A589-7BA6F6BD5E3B}" name="Darwin Temp._x000a_°C" dataDxfId="87">
      <calculatedColumnFormula>'Plantilla Datos'!F9</calculatedColumnFormula>
    </tableColumn>
    <tableColumn id="5" xr3:uid="{EA1FDDBF-077B-4BD1-B2CF-01C86F1248CF}" name="Darwin Gusts Round Cerro_x000a_m/s" dataDxfId="86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5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6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5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4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3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2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1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0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59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8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7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6">
      <calculatedColumnFormula>HLOOKUP(TBL_CalcDarwin[[#This Row],[Fecha]],'Plantilla AEG ES'!$E$1:$HX$13,13,FALSE)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7" dataDxfId="46">
  <autoFilter ref="F2:L50" xr:uid="{0DDE3FFE-CE37-43E6-AB5E-1AE401BF4D09}"/>
  <tableColumns count="7">
    <tableColumn id="1" xr3:uid="{16F1B5BA-D34C-411E-9C5B-20833467E669}" name="Fecha" dataDxfId="45">
      <calculatedColumnFormula>(Table2[[#This Row],[Fecha]]+2)</calculatedColumnFormula>
    </tableColumn>
    <tableColumn id="2" xr3:uid="{56CF45E6-74BD-479A-A91E-0417A651EBD9}" name="Hora" dataDxfId="44">
      <calculatedColumnFormula>Table2[[#This Row],[Hora]]</calculatedColumnFormula>
    </tableColumn>
    <tableColumn id="3" xr3:uid="{BEAA95D9-B33B-484A-9034-6900E41EA79F}" name="MW Proyectada (Barra A)" dataDxfId="43">
      <calculatedColumnFormula>VLOOKUP(Table1[[#This Row],[Fecha]],TBL_CalcDarwin[],42,1)</calculatedColumnFormula>
    </tableColumn>
    <tableColumn id="4" xr3:uid="{1CF57D89-08E2-4848-B4CA-869E60F14D24}" name="MW Proyectada (Barra B)" dataDxfId="42">
      <calculatedColumnFormula>VLOOKUP(Table1[[#This Row],[Fecha]],TBL_CalcDarwin[],43,1)</calculatedColumnFormula>
    </tableColumn>
    <tableColumn id="5" xr3:uid="{2C7976FD-8FDB-48B5-A5DD-3FD87A54A948}" name="AEG DISPONIBLES BARRA A" dataDxfId="41">
      <calculatedColumnFormula>VLOOKUP(Table1[[#This Row],[Fecha]],TBL_CalcDarwin[],40,1)</calculatedColumnFormula>
    </tableColumn>
    <tableColumn id="6" xr3:uid="{301A5512-9E4F-4607-85DE-26E1B4BE7A7A}" name="AEG DISPONIBLES BARRA B" dataDxfId="40">
      <calculatedColumnFormula>VLOOKUP(Table1[[#This Row],[Fecha]],TBL_CalcDarwin[],41,1)</calculatedColumnFormula>
    </tableColumn>
    <tableColumn id="9" xr3:uid="{F291669B-5985-4EE2-B6D9-D9D211A95EAF}" name="TOTAL MW" dataDxfId="39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8">
  <autoFilter ref="A2:C50" xr:uid="{DA87D100-82EA-408F-B7B6-A0A4FF88CEAB}"/>
  <tableColumns count="3">
    <tableColumn id="1" xr3:uid="{9187023A-6E5D-4778-AB7A-D490A6474F51}" name="Fecha" dataDxfId="37"/>
    <tableColumn id="2" xr3:uid="{6A23B25B-8224-4851-A019-D48C6D35C3C4}" name="Hora" dataDxfId="36"/>
    <tableColumn id="3" xr3:uid="{448D6DBB-EB41-4B3F-B2D5-837B9D1BE1BA}" name="Viento m/s" dataDxfId="35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4" dataDxfId="33">
  <autoFilter ref="F2:L50" xr:uid="{0DDE3FFE-CE37-43E6-AB5E-1AE401BF4D09}"/>
  <tableColumns count="7">
    <tableColumn id="1" xr3:uid="{62D4A0E8-458F-4E9B-9C3A-FBEBBD7FF3CB}" name="Fecha" dataDxfId="32">
      <calculatedColumnFormula>(Table29[[#This Row],[Fecha]]+2)</calculatedColumnFormula>
    </tableColumn>
    <tableColumn id="2" xr3:uid="{30011FA9-EFB3-4B31-8793-44FB5F0C8A22}" name="Hora" dataDxfId="31">
      <calculatedColumnFormula>Table29[[#This Row],[Hora]]</calculatedColumnFormula>
    </tableColumn>
    <tableColumn id="3" xr3:uid="{82B66F11-3523-4A37-BECE-375EF8A24C68}" name="MW Proyectada (Barra A)" dataDxfId="30">
      <calculatedColumnFormula>VLOOKUP(Table18[[#This Row],[Fecha]],TBL_CalcDarwin[],46,1)</calculatedColumnFormula>
    </tableColumn>
    <tableColumn id="4" xr3:uid="{24034D99-D529-4D28-9EBE-6C145EA8822C}" name="MW Proyectada (Barra B)" dataDxfId="29">
      <calculatedColumnFormula>VLOOKUP(Table18[[#This Row],[Fecha]],TBL_CalcDarwin[],47,1)</calculatedColumnFormula>
    </tableColumn>
    <tableColumn id="5" xr3:uid="{9EB39D5A-22BE-4B05-87EA-5D03AF31C977}" name="AEG DISPONIBLES BARRA A" dataDxfId="28">
      <calculatedColumnFormula>VLOOKUP(Table18[[#This Row],[Fecha]],TBL_CalcDarwin[],44,1)</calculatedColumnFormula>
    </tableColumn>
    <tableColumn id="6" xr3:uid="{98E94EB9-594E-4356-96A5-EC4698E35C3D}" name="AEG DISPONIBLES BARRA B" dataDxfId="27">
      <calculatedColumnFormula>VLOOKUP(Table18[[#This Row],[Fecha]],TBL_CalcDarwin[],45,1)</calculatedColumnFormula>
    </tableColumn>
    <tableColumn id="9" xr3:uid="{8579F102-3332-4E74-9CD1-31766B055947}" name="TOTAL MW" dataDxfId="26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5">
  <autoFilter ref="A2:C50" xr:uid="{DA87D100-82EA-408F-B7B6-A0A4FF88CEAB}"/>
  <tableColumns count="3">
    <tableColumn id="1" xr3:uid="{B75D856E-5D1C-4A84-9862-3F6792E27BFF}" name="Fecha" dataDxfId="24"/>
    <tableColumn id="2" xr3:uid="{3BCDA68B-67BE-4AB2-8D1E-D054999DFBEA}" name="Hora" dataDxfId="23"/>
    <tableColumn id="3" xr3:uid="{B2EB5E13-A65A-403A-B319-D575F4F056B6}" name="Viento m/s" dataDxfId="22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tabSelected="1" workbookViewId="0">
      <selection activeCell="G15" sqref="G15"/>
    </sheetView>
  </sheetViews>
  <sheetFormatPr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6" max="6" width="9.7109375" customWidth="1"/>
    <col min="9" max="9" width="18.7109375" bestFit="1" customWidth="1"/>
    <col min="13" max="13" width="18.7109375" bestFit="1" customWidth="1"/>
  </cols>
  <sheetData>
    <row r="2" spans="2:16" x14ac:dyDescent="0.25">
      <c r="B2" s="54" t="s">
        <v>206</v>
      </c>
      <c r="C2" s="54"/>
      <c r="J2" s="131" t="s">
        <v>184</v>
      </c>
      <c r="K2" s="131"/>
      <c r="L2" s="131"/>
    </row>
    <row r="3" spans="2:16" x14ac:dyDescent="0.25">
      <c r="B3" s="54" t="s">
        <v>207</v>
      </c>
      <c r="C3" s="54"/>
      <c r="E3" s="130">
        <v>45443</v>
      </c>
      <c r="F3" s="130"/>
      <c r="J3" s="121" t="s">
        <v>181</v>
      </c>
      <c r="K3" s="122">
        <v>6.8670609397391633</v>
      </c>
      <c r="L3" s="123">
        <f>K3/K5</f>
        <v>0.72126771182767013</v>
      </c>
    </row>
    <row r="4" spans="2:16" x14ac:dyDescent="0.25">
      <c r="B4" s="54" t="s">
        <v>208</v>
      </c>
      <c r="C4" s="54"/>
      <c r="E4" s="129">
        <v>8.3333333333333329E-2</v>
      </c>
      <c r="F4" s="129"/>
      <c r="J4" s="121" t="s">
        <v>182</v>
      </c>
      <c r="K4" s="122">
        <v>8.1056757169263793</v>
      </c>
      <c r="L4" s="123">
        <f>K4/K5</f>
        <v>0.85136308363482582</v>
      </c>
    </row>
    <row r="5" spans="2:16" x14ac:dyDescent="0.25">
      <c r="B5" s="54"/>
      <c r="D5" s="54"/>
      <c r="F5" s="54"/>
      <c r="J5" s="121" t="s">
        <v>183</v>
      </c>
      <c r="K5" s="122">
        <v>9.5208212250874826</v>
      </c>
      <c r="L5" s="123">
        <v>1</v>
      </c>
    </row>
    <row r="6" spans="2:16" ht="15.75" thickBot="1" x14ac:dyDescent="0.3">
      <c r="J6" s="57"/>
      <c r="K6" s="58"/>
      <c r="L6" s="59"/>
    </row>
    <row r="7" spans="2:16" ht="15.75" thickBot="1" x14ac:dyDescent="0.3">
      <c r="B7" s="70" t="s">
        <v>180</v>
      </c>
      <c r="C7" s="134" t="s">
        <v>186</v>
      </c>
      <c r="D7" s="135"/>
      <c r="E7" s="136"/>
      <c r="F7" s="60"/>
      <c r="I7" s="132" t="s">
        <v>185</v>
      </c>
      <c r="J7" s="133"/>
      <c r="M7" s="113" t="s">
        <v>204</v>
      </c>
      <c r="N7" s="114"/>
      <c r="O7" s="114"/>
      <c r="P7" s="115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10" t="s">
        <v>0</v>
      </c>
      <c r="N8" s="111" t="s">
        <v>1</v>
      </c>
      <c r="O8" s="112" t="s">
        <v>205</v>
      </c>
    </row>
    <row r="9" spans="2:16" x14ac:dyDescent="0.25">
      <c r="B9" s="64">
        <f>$E$3+1+E4</f>
        <v>45444.083333333336</v>
      </c>
      <c r="C9" s="65">
        <f>$E$4</f>
        <v>8.3333333333333329E-2</v>
      </c>
      <c r="D9" s="124">
        <v>5.3</v>
      </c>
      <c r="E9" s="124">
        <v>7.7</v>
      </c>
      <c r="F9" s="125">
        <v>16</v>
      </c>
      <c r="I9" s="64">
        <f>$E$3</f>
        <v>45443</v>
      </c>
      <c r="J9" s="65">
        <v>0</v>
      </c>
      <c r="K9" s="68">
        <v>10.9</v>
      </c>
      <c r="M9" s="118">
        <f>I9+2</f>
        <v>45445</v>
      </c>
      <c r="N9" s="119">
        <v>0</v>
      </c>
      <c r="O9" s="120">
        <f>'CCE PLOM Diario'!L3+'CCE PLOME Diario'!L3</f>
        <v>23.250000000000004</v>
      </c>
    </row>
    <row r="10" spans="2:16" x14ac:dyDescent="0.25">
      <c r="B10" s="64">
        <f>B9+TIME(1,0,0)</f>
        <v>45444.125</v>
      </c>
      <c r="C10" s="65">
        <f>C9+TIME(1,0,0)</f>
        <v>0.125</v>
      </c>
      <c r="D10" s="124">
        <v>6.2</v>
      </c>
      <c r="E10" s="124">
        <v>9.6</v>
      </c>
      <c r="F10" s="125">
        <v>15.8</v>
      </c>
      <c r="I10" s="64">
        <f>I9+TIME(0,30,0)</f>
        <v>45443.020833333336</v>
      </c>
      <c r="J10" s="65">
        <f>J9+TIME(0,30,0)</f>
        <v>2.0833333333333332E-2</v>
      </c>
      <c r="K10" s="68">
        <v>7.4</v>
      </c>
      <c r="M10" s="64">
        <f>M9+TIME(0,30,0)</f>
        <v>45445.020833333336</v>
      </c>
      <c r="N10" s="65">
        <f>N9+TIME(0,30,0)</f>
        <v>2.0833333333333332E-2</v>
      </c>
      <c r="O10" s="116">
        <f>'CCE PLOM Diario'!L4+'CCE PLOME Diario'!L4</f>
        <v>23.250000000000004</v>
      </c>
    </row>
    <row r="11" spans="2:16" x14ac:dyDescent="0.25">
      <c r="B11" s="64">
        <f t="shared" ref="B11:B74" si="0">B10+TIME(1,0,0)</f>
        <v>45444.166666666664</v>
      </c>
      <c r="C11" s="65">
        <f t="shared" ref="C11:C74" si="1">C10+TIME(1,0,0)</f>
        <v>0.16666666666666666</v>
      </c>
      <c r="D11" s="124">
        <v>7.3</v>
      </c>
      <c r="E11" s="124">
        <v>10.6</v>
      </c>
      <c r="F11" s="125">
        <v>15.8</v>
      </c>
      <c r="I11" s="64">
        <f t="shared" ref="I11:I56" si="2">I10+TIME(0,30,0)</f>
        <v>45443.041666666672</v>
      </c>
      <c r="J11" s="65">
        <f t="shared" ref="J11:J56" si="3">J10+TIME(0,30,0)</f>
        <v>4.1666666666666664E-2</v>
      </c>
      <c r="K11" s="68">
        <v>8.9</v>
      </c>
      <c r="M11" s="64">
        <f t="shared" ref="M11:N26" si="4">M10+TIME(0,30,0)</f>
        <v>45445.041666666672</v>
      </c>
      <c r="N11" s="65">
        <f t="shared" si="4"/>
        <v>4.1666666666666664E-2</v>
      </c>
      <c r="O11" s="116">
        <f>'CCE PLOM Diario'!L5+'CCE PLOME Diario'!L5</f>
        <v>12.349</v>
      </c>
    </row>
    <row r="12" spans="2:16" x14ac:dyDescent="0.25">
      <c r="B12" s="64">
        <f t="shared" si="0"/>
        <v>45444.208333333328</v>
      </c>
      <c r="C12" s="65">
        <f t="shared" si="1"/>
        <v>0.20833333333333331</v>
      </c>
      <c r="D12" s="124">
        <v>7.4</v>
      </c>
      <c r="E12" s="124">
        <v>10.6</v>
      </c>
      <c r="F12" s="125">
        <v>15.9</v>
      </c>
      <c r="I12" s="64">
        <f t="shared" si="2"/>
        <v>45443.062500000007</v>
      </c>
      <c r="J12" s="65">
        <f t="shared" si="3"/>
        <v>6.25E-2</v>
      </c>
      <c r="K12" s="68">
        <v>6</v>
      </c>
      <c r="M12" s="64">
        <f t="shared" si="4"/>
        <v>45445.062500000007</v>
      </c>
      <c r="N12" s="65">
        <f t="shared" si="4"/>
        <v>6.25E-2</v>
      </c>
      <c r="O12" s="116">
        <f>'CCE PLOM Diario'!L6+'CCE PLOME Diario'!L6</f>
        <v>12.349</v>
      </c>
    </row>
    <row r="13" spans="2:16" x14ac:dyDescent="0.25">
      <c r="B13" s="64">
        <f t="shared" si="0"/>
        <v>45444.249999999993</v>
      </c>
      <c r="C13" s="65">
        <f t="shared" si="1"/>
        <v>0.24999999999999997</v>
      </c>
      <c r="D13" s="124">
        <v>6.9</v>
      </c>
      <c r="E13" s="124">
        <v>10.3</v>
      </c>
      <c r="F13" s="125">
        <v>16</v>
      </c>
      <c r="I13" s="64">
        <f t="shared" si="2"/>
        <v>45443.083333333343</v>
      </c>
      <c r="J13" s="65">
        <f t="shared" si="3"/>
        <v>8.3333333333333329E-2</v>
      </c>
      <c r="K13" s="68">
        <v>7.3</v>
      </c>
      <c r="M13" s="64">
        <f t="shared" si="4"/>
        <v>45445.083333333343</v>
      </c>
      <c r="N13" s="65">
        <f t="shared" si="4"/>
        <v>8.3333333333333329E-2</v>
      </c>
      <c r="O13" s="116">
        <f>'CCE PLOM Diario'!L7+'CCE PLOME Diario'!L7</f>
        <v>7.4110000000000005</v>
      </c>
    </row>
    <row r="14" spans="2:16" x14ac:dyDescent="0.25">
      <c r="B14" s="64">
        <f t="shared" si="0"/>
        <v>45444.291666666657</v>
      </c>
      <c r="C14" s="65">
        <f t="shared" si="1"/>
        <v>0.29166666666666663</v>
      </c>
      <c r="D14" s="124">
        <v>6.5</v>
      </c>
      <c r="E14" s="124">
        <v>9.9</v>
      </c>
      <c r="F14" s="125">
        <v>16.2</v>
      </c>
      <c r="I14" s="64">
        <f t="shared" si="2"/>
        <v>45443.104166666679</v>
      </c>
      <c r="J14" s="65">
        <f t="shared" si="3"/>
        <v>0.10416666666666666</v>
      </c>
      <c r="K14" s="68">
        <v>5.4</v>
      </c>
      <c r="M14" s="64">
        <f t="shared" si="4"/>
        <v>45445.104166666679</v>
      </c>
      <c r="N14" s="65">
        <f t="shared" si="4"/>
        <v>0.10416666666666666</v>
      </c>
      <c r="O14" s="116">
        <f>'CCE PLOM Diario'!L8+'CCE PLOME Diario'!L8</f>
        <v>7.4110000000000005</v>
      </c>
    </row>
    <row r="15" spans="2:16" x14ac:dyDescent="0.25">
      <c r="B15" s="64">
        <f t="shared" si="0"/>
        <v>45444.333333333321</v>
      </c>
      <c r="C15" s="65">
        <f t="shared" si="1"/>
        <v>0.33333333333333331</v>
      </c>
      <c r="D15" s="124">
        <v>6.3</v>
      </c>
      <c r="E15" s="124">
        <v>9.6</v>
      </c>
      <c r="F15" s="125">
        <v>16.399999999999999</v>
      </c>
      <c r="I15" s="64">
        <f t="shared" si="2"/>
        <v>45443.125000000015</v>
      </c>
      <c r="J15" s="65">
        <f t="shared" si="3"/>
        <v>0.12499999999999999</v>
      </c>
      <c r="K15" s="68">
        <v>5.2</v>
      </c>
      <c r="M15" s="64">
        <f t="shared" si="4"/>
        <v>45445.125000000015</v>
      </c>
      <c r="N15" s="65">
        <f t="shared" si="4"/>
        <v>0.12499999999999999</v>
      </c>
      <c r="O15" s="116">
        <f>'CCE PLOM Diario'!L9+'CCE PLOME Diario'!L9</f>
        <v>3.59</v>
      </c>
    </row>
    <row r="16" spans="2:16" x14ac:dyDescent="0.25">
      <c r="B16" s="64">
        <f t="shared" si="0"/>
        <v>45444.374999999985</v>
      </c>
      <c r="C16" s="65">
        <f t="shared" si="1"/>
        <v>0.375</v>
      </c>
      <c r="D16" s="124">
        <v>6.3</v>
      </c>
      <c r="E16" s="124">
        <v>9.3000000000000007</v>
      </c>
      <c r="F16" s="125">
        <v>16.399999999999999</v>
      </c>
      <c r="I16" s="64">
        <f t="shared" si="2"/>
        <v>45443.14583333335</v>
      </c>
      <c r="J16" s="65">
        <f t="shared" si="3"/>
        <v>0.14583333333333331</v>
      </c>
      <c r="K16" s="68">
        <v>8.8000000000000007</v>
      </c>
      <c r="M16" s="64">
        <f t="shared" si="4"/>
        <v>45445.14583333335</v>
      </c>
      <c r="N16" s="65">
        <f t="shared" si="4"/>
        <v>0.14583333333333331</v>
      </c>
      <c r="O16" s="116">
        <f>'CCE PLOM Diario'!L10+'CCE PLOME Diario'!L10</f>
        <v>3.59</v>
      </c>
    </row>
    <row r="17" spans="2:15" x14ac:dyDescent="0.25">
      <c r="B17" s="64">
        <f t="shared" si="0"/>
        <v>45444.41666666665</v>
      </c>
      <c r="C17" s="65">
        <f t="shared" si="1"/>
        <v>0.41666666666666669</v>
      </c>
      <c r="D17" s="124">
        <v>6.7</v>
      </c>
      <c r="E17" s="124">
        <v>9.3000000000000007</v>
      </c>
      <c r="F17" s="125">
        <v>17.3</v>
      </c>
      <c r="I17" s="64">
        <f t="shared" si="2"/>
        <v>45443.166666666686</v>
      </c>
      <c r="J17" s="65">
        <f t="shared" si="3"/>
        <v>0.16666666666666666</v>
      </c>
      <c r="K17" s="68">
        <v>11.3</v>
      </c>
      <c r="M17" s="64">
        <f t="shared" si="4"/>
        <v>45445.166666666686</v>
      </c>
      <c r="N17" s="65">
        <f t="shared" si="4"/>
        <v>0.16666666666666666</v>
      </c>
      <c r="O17" s="116">
        <f>'CCE PLOM Diario'!L11+'CCE PLOME Diario'!L11</f>
        <v>1.31</v>
      </c>
    </row>
    <row r="18" spans="2:15" x14ac:dyDescent="0.25">
      <c r="B18" s="64">
        <f t="shared" si="0"/>
        <v>45444.458333333314</v>
      </c>
      <c r="C18" s="65">
        <f t="shared" si="1"/>
        <v>0.45833333333333337</v>
      </c>
      <c r="D18" s="124">
        <v>7.1</v>
      </c>
      <c r="E18" s="124">
        <v>9.5</v>
      </c>
      <c r="F18" s="125">
        <v>18</v>
      </c>
      <c r="I18" s="64">
        <f t="shared" si="2"/>
        <v>45443.187500000022</v>
      </c>
      <c r="J18" s="65">
        <f t="shared" si="3"/>
        <v>0.1875</v>
      </c>
      <c r="K18" s="68">
        <v>9.6</v>
      </c>
      <c r="M18" s="64">
        <f t="shared" si="4"/>
        <v>45445.187500000022</v>
      </c>
      <c r="N18" s="65">
        <f t="shared" si="4"/>
        <v>0.1875</v>
      </c>
      <c r="O18" s="116">
        <f>'CCE PLOM Diario'!L12+'CCE PLOME Diario'!L12</f>
        <v>1.31</v>
      </c>
    </row>
    <row r="19" spans="2:15" x14ac:dyDescent="0.25">
      <c r="B19" s="64">
        <f t="shared" si="0"/>
        <v>45444.499999999978</v>
      </c>
      <c r="C19" s="65">
        <f t="shared" si="1"/>
        <v>0.5</v>
      </c>
      <c r="D19" s="124">
        <v>6.6</v>
      </c>
      <c r="E19" s="124">
        <v>8.8000000000000007</v>
      </c>
      <c r="F19" s="125">
        <v>18.899999999999999</v>
      </c>
      <c r="I19" s="64">
        <f t="shared" si="2"/>
        <v>45443.208333333358</v>
      </c>
      <c r="J19" s="65">
        <f t="shared" si="3"/>
        <v>0.20833333333333334</v>
      </c>
      <c r="K19" s="68">
        <v>10.4</v>
      </c>
      <c r="M19" s="64">
        <f t="shared" si="4"/>
        <v>45445.208333333358</v>
      </c>
      <c r="N19" s="65">
        <f t="shared" si="4"/>
        <v>0.20833333333333334</v>
      </c>
      <c r="O19" s="116">
        <f>'CCE PLOM Diario'!L13+'CCE PLOME Diario'!L13</f>
        <v>0</v>
      </c>
    </row>
    <row r="20" spans="2:15" x14ac:dyDescent="0.25">
      <c r="B20" s="64">
        <f t="shared" si="0"/>
        <v>45444.541666666642</v>
      </c>
      <c r="C20" s="65">
        <f t="shared" si="1"/>
        <v>0.54166666666666663</v>
      </c>
      <c r="D20" s="124">
        <v>6.9</v>
      </c>
      <c r="E20" s="124">
        <v>9.1999999999999993</v>
      </c>
      <c r="F20" s="125">
        <v>19.399999999999999</v>
      </c>
      <c r="I20" s="64">
        <f t="shared" si="2"/>
        <v>45443.229166666693</v>
      </c>
      <c r="J20" s="65">
        <f t="shared" si="3"/>
        <v>0.22916666666666669</v>
      </c>
      <c r="K20" s="68">
        <v>8.6</v>
      </c>
      <c r="M20" s="64">
        <f t="shared" si="4"/>
        <v>45445.229166666693</v>
      </c>
      <c r="N20" s="65">
        <f t="shared" si="4"/>
        <v>0.22916666666666669</v>
      </c>
      <c r="O20" s="116">
        <f>'CCE PLOM Diario'!L14+'CCE PLOME Diario'!L14</f>
        <v>0</v>
      </c>
    </row>
    <row r="21" spans="2:15" x14ac:dyDescent="0.25">
      <c r="B21" s="64">
        <f t="shared" si="0"/>
        <v>45444.583333333307</v>
      </c>
      <c r="C21" s="65">
        <f t="shared" si="1"/>
        <v>0.58333333333333326</v>
      </c>
      <c r="D21" s="124">
        <v>7</v>
      </c>
      <c r="E21" s="124">
        <v>9.4</v>
      </c>
      <c r="F21" s="125">
        <v>19.5</v>
      </c>
      <c r="I21" s="64">
        <f t="shared" si="2"/>
        <v>45443.250000000029</v>
      </c>
      <c r="J21" s="65">
        <f t="shared" si="3"/>
        <v>0.25</v>
      </c>
      <c r="K21" s="68">
        <v>7.6</v>
      </c>
      <c r="M21" s="64">
        <f t="shared" si="4"/>
        <v>45445.250000000029</v>
      </c>
      <c r="N21" s="65">
        <f t="shared" si="4"/>
        <v>0.25</v>
      </c>
      <c r="O21" s="116">
        <f>'CCE PLOM Diario'!L15+'CCE PLOME Diario'!L15</f>
        <v>0</v>
      </c>
    </row>
    <row r="22" spans="2:15" x14ac:dyDescent="0.25">
      <c r="B22" s="64">
        <f t="shared" si="0"/>
        <v>45444.624999999971</v>
      </c>
      <c r="C22" s="65">
        <f t="shared" si="1"/>
        <v>0.62499999999999989</v>
      </c>
      <c r="D22" s="124">
        <v>6.9</v>
      </c>
      <c r="E22" s="124">
        <v>9.1999999999999993</v>
      </c>
      <c r="F22" s="125">
        <v>19.399999999999999</v>
      </c>
      <c r="I22" s="64">
        <f t="shared" si="2"/>
        <v>45443.270833333365</v>
      </c>
      <c r="J22" s="65">
        <f t="shared" si="3"/>
        <v>0.27083333333333331</v>
      </c>
      <c r="K22" s="68">
        <v>8.8000000000000007</v>
      </c>
      <c r="M22" s="64">
        <f t="shared" si="4"/>
        <v>45445.270833333365</v>
      </c>
      <c r="N22" s="65">
        <f t="shared" si="4"/>
        <v>0.27083333333333331</v>
      </c>
      <c r="O22" s="116">
        <f>'CCE PLOM Diario'!L16+'CCE PLOME Diario'!L16</f>
        <v>0</v>
      </c>
    </row>
    <row r="23" spans="2:15" x14ac:dyDescent="0.25">
      <c r="B23" s="64">
        <f t="shared" si="0"/>
        <v>45444.666666666635</v>
      </c>
      <c r="C23" s="65">
        <f t="shared" si="1"/>
        <v>0.66666666666666652</v>
      </c>
      <c r="D23" s="124">
        <v>6.6</v>
      </c>
      <c r="E23" s="124">
        <v>8.3000000000000007</v>
      </c>
      <c r="F23" s="125">
        <v>19.100000000000001</v>
      </c>
      <c r="I23" s="64">
        <f t="shared" si="2"/>
        <v>45443.291666666701</v>
      </c>
      <c r="J23" s="65">
        <f t="shared" si="3"/>
        <v>0.29166666666666663</v>
      </c>
      <c r="K23" s="68">
        <v>7.1</v>
      </c>
      <c r="M23" s="64">
        <f t="shared" si="4"/>
        <v>45445.291666666701</v>
      </c>
      <c r="N23" s="65">
        <f t="shared" si="4"/>
        <v>0.29166666666666663</v>
      </c>
      <c r="O23" s="116">
        <f>'CCE PLOM Diario'!L17+'CCE PLOME Diario'!L17</f>
        <v>0</v>
      </c>
    </row>
    <row r="24" spans="2:15" x14ac:dyDescent="0.25">
      <c r="B24" s="64">
        <f t="shared" si="0"/>
        <v>45444.708333333299</v>
      </c>
      <c r="C24" s="65">
        <f t="shared" si="1"/>
        <v>0.70833333333333315</v>
      </c>
      <c r="D24" s="124">
        <v>5.8</v>
      </c>
      <c r="E24" s="124">
        <v>7.4</v>
      </c>
      <c r="F24" s="125">
        <v>18.5</v>
      </c>
      <c r="I24" s="64">
        <f t="shared" si="2"/>
        <v>45443.312500000036</v>
      </c>
      <c r="J24" s="65">
        <f t="shared" si="3"/>
        <v>0.31249999999999994</v>
      </c>
      <c r="K24" s="68">
        <v>7.1</v>
      </c>
      <c r="M24" s="64">
        <f t="shared" si="4"/>
        <v>45445.312500000036</v>
      </c>
      <c r="N24" s="65">
        <f t="shared" si="4"/>
        <v>0.31249999999999994</v>
      </c>
      <c r="O24" s="116">
        <f>'CCE PLOM Diario'!L18+'CCE PLOME Diario'!L18</f>
        <v>0</v>
      </c>
    </row>
    <row r="25" spans="2:15" x14ac:dyDescent="0.25">
      <c r="B25" s="64">
        <f t="shared" si="0"/>
        <v>45444.749999999964</v>
      </c>
      <c r="C25" s="65">
        <f t="shared" si="1"/>
        <v>0.74999999999999978</v>
      </c>
      <c r="D25" s="124">
        <v>4.7</v>
      </c>
      <c r="E25" s="124">
        <v>6</v>
      </c>
      <c r="F25" s="125">
        <v>17.600000000000001</v>
      </c>
      <c r="I25" s="64">
        <f t="shared" si="2"/>
        <v>45443.333333333372</v>
      </c>
      <c r="J25" s="65">
        <f t="shared" si="3"/>
        <v>0.33333333333333326</v>
      </c>
      <c r="K25" s="68">
        <v>6.6</v>
      </c>
      <c r="M25" s="64">
        <f t="shared" si="4"/>
        <v>45445.333333333372</v>
      </c>
      <c r="N25" s="65">
        <f t="shared" si="4"/>
        <v>0.33333333333333326</v>
      </c>
      <c r="O25" s="116">
        <f>'CCE PLOM Diario'!L19+'CCE PLOME Diario'!L19</f>
        <v>1.31</v>
      </c>
    </row>
    <row r="26" spans="2:15" x14ac:dyDescent="0.25">
      <c r="B26" s="64">
        <f t="shared" si="0"/>
        <v>45444.791666666628</v>
      </c>
      <c r="C26" s="65">
        <f t="shared" si="1"/>
        <v>0.79166666666666641</v>
      </c>
      <c r="D26" s="124">
        <v>4.5999999999999996</v>
      </c>
      <c r="E26" s="124">
        <v>5.9</v>
      </c>
      <c r="F26" s="125">
        <v>17</v>
      </c>
      <c r="I26" s="64">
        <f t="shared" si="2"/>
        <v>45443.354166666708</v>
      </c>
      <c r="J26" s="65">
        <f t="shared" si="3"/>
        <v>0.35416666666666657</v>
      </c>
      <c r="K26" s="68">
        <v>5.2</v>
      </c>
      <c r="M26" s="64">
        <f t="shared" si="4"/>
        <v>45445.354166666708</v>
      </c>
      <c r="N26" s="65">
        <f t="shared" si="4"/>
        <v>0.35416666666666657</v>
      </c>
      <c r="O26" s="116">
        <f>'CCE PLOM Diario'!L20+'CCE PLOME Diario'!L20</f>
        <v>1.31</v>
      </c>
    </row>
    <row r="27" spans="2:15" x14ac:dyDescent="0.25">
      <c r="B27" s="64">
        <f t="shared" si="0"/>
        <v>45444.833333333292</v>
      </c>
      <c r="C27" s="65">
        <f t="shared" si="1"/>
        <v>0.83333333333333304</v>
      </c>
      <c r="D27" s="124">
        <v>4.7</v>
      </c>
      <c r="E27" s="124">
        <v>6</v>
      </c>
      <c r="F27" s="125">
        <v>16.8</v>
      </c>
      <c r="I27" s="64">
        <f t="shared" si="2"/>
        <v>45443.375000000044</v>
      </c>
      <c r="J27" s="65">
        <f t="shared" si="3"/>
        <v>0.37499999999999989</v>
      </c>
      <c r="K27" s="68">
        <v>6.6</v>
      </c>
      <c r="M27" s="64">
        <f t="shared" ref="M27:N42" si="5">M26+TIME(0,30,0)</f>
        <v>45445.375000000044</v>
      </c>
      <c r="N27" s="65">
        <f t="shared" si="5"/>
        <v>0.37499999999999989</v>
      </c>
      <c r="O27" s="116">
        <f>'CCE PLOM Diario'!L21+'CCE PLOME Diario'!L21</f>
        <v>7.4110000000000005</v>
      </c>
    </row>
    <row r="28" spans="2:15" x14ac:dyDescent="0.25">
      <c r="B28" s="64">
        <f t="shared" si="0"/>
        <v>45444.874999999956</v>
      </c>
      <c r="C28" s="65">
        <f t="shared" si="1"/>
        <v>0.87499999999999967</v>
      </c>
      <c r="D28" s="124">
        <v>4.8</v>
      </c>
      <c r="E28" s="124">
        <v>6.2</v>
      </c>
      <c r="F28" s="125">
        <v>16.600000000000001</v>
      </c>
      <c r="I28" s="64">
        <f t="shared" si="2"/>
        <v>45443.395833333379</v>
      </c>
      <c r="J28" s="65">
        <f t="shared" si="3"/>
        <v>0.3958333333333332</v>
      </c>
      <c r="K28" s="68">
        <v>8.1</v>
      </c>
      <c r="M28" s="64">
        <f t="shared" si="5"/>
        <v>45445.395833333379</v>
      </c>
      <c r="N28" s="65">
        <f t="shared" si="5"/>
        <v>0.3958333333333332</v>
      </c>
      <c r="O28" s="116">
        <f>'CCE PLOM Diario'!L22+'CCE PLOME Diario'!L22</f>
        <v>7.4110000000000005</v>
      </c>
    </row>
    <row r="29" spans="2:15" x14ac:dyDescent="0.25">
      <c r="B29" s="64">
        <f t="shared" si="0"/>
        <v>45444.916666666621</v>
      </c>
      <c r="C29" s="65">
        <f t="shared" si="1"/>
        <v>0.9166666666666663</v>
      </c>
      <c r="D29" s="124">
        <v>4.9000000000000004</v>
      </c>
      <c r="E29" s="124">
        <v>6.3</v>
      </c>
      <c r="F29" s="125">
        <v>16.3</v>
      </c>
      <c r="I29" s="64">
        <f t="shared" si="2"/>
        <v>45443.416666666715</v>
      </c>
      <c r="J29" s="65">
        <f t="shared" si="3"/>
        <v>0.41666666666666652</v>
      </c>
      <c r="K29" s="68">
        <v>7.8</v>
      </c>
      <c r="M29" s="64">
        <f t="shared" si="5"/>
        <v>45445.416666666715</v>
      </c>
      <c r="N29" s="65">
        <f t="shared" si="5"/>
        <v>0.41666666666666652</v>
      </c>
      <c r="O29" s="116">
        <f>'CCE PLOM Diario'!L23+'CCE PLOME Diario'!L23</f>
        <v>12.349</v>
      </c>
    </row>
    <row r="30" spans="2:15" x14ac:dyDescent="0.25">
      <c r="B30" s="64">
        <f t="shared" si="0"/>
        <v>45444.958333333285</v>
      </c>
      <c r="C30" s="65">
        <f t="shared" si="1"/>
        <v>0.95833333333333293</v>
      </c>
      <c r="D30" s="124">
        <v>4.4000000000000004</v>
      </c>
      <c r="E30" s="124">
        <v>5.7</v>
      </c>
      <c r="F30" s="125">
        <v>16.2</v>
      </c>
      <c r="I30" s="64">
        <f t="shared" si="2"/>
        <v>45443.437500000051</v>
      </c>
      <c r="J30" s="65">
        <f t="shared" si="3"/>
        <v>0.43749999999999983</v>
      </c>
      <c r="K30" s="68">
        <v>7.1</v>
      </c>
      <c r="M30" s="64">
        <f t="shared" si="5"/>
        <v>45445.437500000051</v>
      </c>
      <c r="N30" s="65">
        <f t="shared" si="5"/>
        <v>0.43749999999999983</v>
      </c>
      <c r="O30" s="116">
        <f>'CCE PLOM Diario'!L24+'CCE PLOME Diario'!L24</f>
        <v>12.349</v>
      </c>
    </row>
    <row r="31" spans="2:15" x14ac:dyDescent="0.25">
      <c r="B31" s="64">
        <f t="shared" si="0"/>
        <v>45444.999999999949</v>
      </c>
      <c r="C31" s="65">
        <f t="shared" si="1"/>
        <v>0.99999999999999956</v>
      </c>
      <c r="D31" s="124">
        <v>3.9</v>
      </c>
      <c r="E31" s="124">
        <v>5.0999999999999996</v>
      </c>
      <c r="F31" s="125">
        <v>16.100000000000001</v>
      </c>
      <c r="I31" s="64">
        <f t="shared" si="2"/>
        <v>45443.458333333387</v>
      </c>
      <c r="J31" s="65">
        <f t="shared" si="3"/>
        <v>0.45833333333333315</v>
      </c>
      <c r="K31" s="68">
        <v>11.4</v>
      </c>
      <c r="M31" s="64">
        <f t="shared" si="5"/>
        <v>45445.458333333387</v>
      </c>
      <c r="N31" s="65">
        <f t="shared" si="5"/>
        <v>0.45833333333333315</v>
      </c>
      <c r="O31" s="116">
        <f>'CCE PLOM Diario'!L25+'CCE PLOME Diario'!L25</f>
        <v>23.250000000000004</v>
      </c>
    </row>
    <row r="32" spans="2:15" x14ac:dyDescent="0.25">
      <c r="B32" s="64">
        <f t="shared" si="0"/>
        <v>45445.041666666613</v>
      </c>
      <c r="C32" s="65">
        <f t="shared" si="1"/>
        <v>1.0416666666666663</v>
      </c>
      <c r="D32" s="124">
        <v>3.3</v>
      </c>
      <c r="E32" s="124">
        <v>4.4000000000000004</v>
      </c>
      <c r="F32" s="125">
        <v>16</v>
      </c>
      <c r="I32" s="64">
        <f t="shared" si="2"/>
        <v>45443.479166666722</v>
      </c>
      <c r="J32" s="65">
        <f t="shared" si="3"/>
        <v>0.47916666666666646</v>
      </c>
      <c r="K32" s="68">
        <v>12.3</v>
      </c>
      <c r="M32" s="64">
        <f t="shared" si="5"/>
        <v>45445.479166666722</v>
      </c>
      <c r="N32" s="65">
        <f t="shared" si="5"/>
        <v>0.47916666666666646</v>
      </c>
      <c r="O32" s="116">
        <f>'CCE PLOM Diario'!L26+'CCE PLOME Diario'!L26</f>
        <v>23.250000000000004</v>
      </c>
    </row>
    <row r="33" spans="2:15" x14ac:dyDescent="0.25">
      <c r="B33" s="64">
        <f t="shared" si="0"/>
        <v>45445.083333333278</v>
      </c>
      <c r="C33" s="65">
        <f t="shared" si="1"/>
        <v>1.083333333333333</v>
      </c>
      <c r="D33" s="124">
        <v>2.8</v>
      </c>
      <c r="E33" s="124">
        <v>3.8</v>
      </c>
      <c r="F33" s="125">
        <v>15.9</v>
      </c>
      <c r="I33" s="64">
        <f t="shared" si="2"/>
        <v>45443.500000000058</v>
      </c>
      <c r="J33" s="65">
        <f t="shared" si="3"/>
        <v>0.49999999999999978</v>
      </c>
      <c r="K33" s="68">
        <v>10.6</v>
      </c>
      <c r="M33" s="64">
        <f t="shared" si="5"/>
        <v>45445.500000000058</v>
      </c>
      <c r="N33" s="65">
        <f t="shared" si="5"/>
        <v>0.49999999999999978</v>
      </c>
      <c r="O33" s="116">
        <f>'CCE PLOM Diario'!L27+'CCE PLOME Diario'!L27</f>
        <v>31.566000000000003</v>
      </c>
    </row>
    <row r="34" spans="2:15" x14ac:dyDescent="0.25">
      <c r="B34" s="64">
        <f t="shared" si="0"/>
        <v>45445.124999999942</v>
      </c>
      <c r="C34" s="65">
        <f t="shared" si="1"/>
        <v>1.1249999999999998</v>
      </c>
      <c r="D34" s="124">
        <v>2.4</v>
      </c>
      <c r="E34" s="124">
        <v>3.2</v>
      </c>
      <c r="F34" s="125">
        <v>15.8</v>
      </c>
      <c r="I34" s="64">
        <f t="shared" si="2"/>
        <v>45443.520833333394</v>
      </c>
      <c r="J34" s="65">
        <f t="shared" si="3"/>
        <v>0.52083333333333315</v>
      </c>
      <c r="K34" s="68">
        <v>11.7</v>
      </c>
      <c r="M34" s="64">
        <f t="shared" si="5"/>
        <v>45445.520833333394</v>
      </c>
      <c r="N34" s="65">
        <f t="shared" si="5"/>
        <v>0.52083333333333315</v>
      </c>
      <c r="O34" s="116">
        <f>'CCE PLOM Diario'!L28+'CCE PLOME Diario'!L28</f>
        <v>31.566000000000003</v>
      </c>
    </row>
    <row r="35" spans="2:15" x14ac:dyDescent="0.25">
      <c r="B35" s="64">
        <f t="shared" si="0"/>
        <v>45445.166666666606</v>
      </c>
      <c r="C35" s="65">
        <f t="shared" si="1"/>
        <v>1.1666666666666665</v>
      </c>
      <c r="D35" s="124">
        <v>1.9</v>
      </c>
      <c r="E35" s="124">
        <v>2.7</v>
      </c>
      <c r="F35" s="125">
        <v>15.6</v>
      </c>
      <c r="I35" s="64">
        <f t="shared" si="2"/>
        <v>45443.54166666673</v>
      </c>
      <c r="J35" s="65">
        <f t="shared" si="3"/>
        <v>0.54166666666666652</v>
      </c>
      <c r="K35" s="68">
        <v>11.5</v>
      </c>
      <c r="M35" s="64">
        <f t="shared" si="5"/>
        <v>45445.54166666673</v>
      </c>
      <c r="N35" s="65">
        <f t="shared" si="5"/>
        <v>0.54166666666666652</v>
      </c>
      <c r="O35" s="116">
        <f>'CCE PLOM Diario'!L29+'CCE PLOME Diario'!L29</f>
        <v>41.459999999999994</v>
      </c>
    </row>
    <row r="36" spans="2:15" x14ac:dyDescent="0.25">
      <c r="B36" s="64">
        <f t="shared" si="0"/>
        <v>45445.20833333327</v>
      </c>
      <c r="C36" s="65">
        <f t="shared" si="1"/>
        <v>1.2083333333333333</v>
      </c>
      <c r="D36" s="124">
        <v>1.7</v>
      </c>
      <c r="E36" s="124">
        <v>2.5</v>
      </c>
      <c r="F36" s="125">
        <v>15.6</v>
      </c>
      <c r="I36" s="64">
        <f t="shared" si="2"/>
        <v>45443.562500000065</v>
      </c>
      <c r="J36" s="65">
        <f t="shared" si="3"/>
        <v>0.56249999999999989</v>
      </c>
      <c r="K36" s="68">
        <v>10.1</v>
      </c>
      <c r="M36" s="64">
        <f t="shared" si="5"/>
        <v>45445.562500000065</v>
      </c>
      <c r="N36" s="65">
        <f t="shared" si="5"/>
        <v>0.56249999999999989</v>
      </c>
      <c r="O36" s="116">
        <f>'CCE PLOM Diario'!L30+'CCE PLOME Diario'!L30</f>
        <v>41.459999999999994</v>
      </c>
    </row>
    <row r="37" spans="2:15" x14ac:dyDescent="0.25">
      <c r="B37" s="64">
        <f t="shared" si="0"/>
        <v>45445.249999999935</v>
      </c>
      <c r="C37" s="65">
        <f t="shared" si="1"/>
        <v>1.25</v>
      </c>
      <c r="D37" s="124">
        <v>1.6</v>
      </c>
      <c r="E37" s="124">
        <v>2.4</v>
      </c>
      <c r="F37" s="125">
        <v>15.8</v>
      </c>
      <c r="I37" s="64">
        <f t="shared" si="2"/>
        <v>45443.583333333401</v>
      </c>
      <c r="J37" s="65">
        <f t="shared" si="3"/>
        <v>0.58333333333333326</v>
      </c>
      <c r="K37" s="68">
        <v>9.1999999999999993</v>
      </c>
      <c r="M37" s="64">
        <f t="shared" si="5"/>
        <v>45445.583333333401</v>
      </c>
      <c r="N37" s="65">
        <f t="shared" si="5"/>
        <v>0.58333333333333326</v>
      </c>
      <c r="O37" s="116">
        <f>'CCE PLOM Diario'!L31+'CCE PLOME Diario'!L31</f>
        <v>41.459999999999994</v>
      </c>
    </row>
    <row r="38" spans="2:15" x14ac:dyDescent="0.25">
      <c r="B38" s="64">
        <f t="shared" si="0"/>
        <v>45445.291666666599</v>
      </c>
      <c r="C38" s="65">
        <f t="shared" si="1"/>
        <v>1.2916666666666667</v>
      </c>
      <c r="D38" s="124">
        <v>1.5</v>
      </c>
      <c r="E38" s="124">
        <v>2.2999999999999998</v>
      </c>
      <c r="F38" s="125">
        <v>16.100000000000001</v>
      </c>
      <c r="I38" s="64">
        <f t="shared" si="2"/>
        <v>45443.604166666737</v>
      </c>
      <c r="J38" s="65">
        <f t="shared" si="3"/>
        <v>0.60416666666666663</v>
      </c>
      <c r="K38" s="68">
        <v>10</v>
      </c>
      <c r="M38" s="64">
        <f t="shared" si="5"/>
        <v>45445.604166666737</v>
      </c>
      <c r="N38" s="65">
        <f t="shared" si="5"/>
        <v>0.60416666666666663</v>
      </c>
      <c r="O38" s="116">
        <f>'CCE PLOM Diario'!L32+'CCE PLOME Diario'!L32</f>
        <v>41.459999999999994</v>
      </c>
    </row>
    <row r="39" spans="2:15" x14ac:dyDescent="0.25">
      <c r="B39" s="64">
        <f t="shared" si="0"/>
        <v>45445.333333333263</v>
      </c>
      <c r="C39" s="65">
        <f t="shared" si="1"/>
        <v>1.3333333333333335</v>
      </c>
      <c r="D39" s="124">
        <v>2.1</v>
      </c>
      <c r="E39" s="124">
        <v>2.9</v>
      </c>
      <c r="F39" s="125">
        <v>16.399999999999999</v>
      </c>
      <c r="I39" s="64">
        <f t="shared" si="2"/>
        <v>45443.625000000073</v>
      </c>
      <c r="J39" s="65">
        <f t="shared" si="3"/>
        <v>0.625</v>
      </c>
      <c r="K39" s="68">
        <v>12.4</v>
      </c>
      <c r="M39" s="64">
        <f t="shared" si="5"/>
        <v>45445.625000000073</v>
      </c>
      <c r="N39" s="65">
        <f t="shared" si="5"/>
        <v>0.625</v>
      </c>
      <c r="O39" s="116">
        <f>'CCE PLOM Diario'!L33+'CCE PLOME Diario'!L33</f>
        <v>41.459999999999994</v>
      </c>
    </row>
    <row r="40" spans="2:15" x14ac:dyDescent="0.25">
      <c r="B40" s="64">
        <f t="shared" si="0"/>
        <v>45445.374999999927</v>
      </c>
      <c r="C40" s="65">
        <f t="shared" si="1"/>
        <v>1.3750000000000002</v>
      </c>
      <c r="D40" s="124">
        <v>2.7</v>
      </c>
      <c r="E40" s="124">
        <v>3.7</v>
      </c>
      <c r="F40" s="125">
        <v>16.8</v>
      </c>
      <c r="I40" s="64">
        <f t="shared" si="2"/>
        <v>45443.645833333409</v>
      </c>
      <c r="J40" s="65">
        <f t="shared" si="3"/>
        <v>0.64583333333333337</v>
      </c>
      <c r="K40" s="68">
        <v>12.1</v>
      </c>
      <c r="M40" s="64">
        <f t="shared" si="5"/>
        <v>45445.645833333409</v>
      </c>
      <c r="N40" s="65">
        <f t="shared" si="5"/>
        <v>0.64583333333333337</v>
      </c>
      <c r="O40" s="116">
        <f>'CCE PLOM Diario'!L34+'CCE PLOME Diario'!L34</f>
        <v>41.459999999999994</v>
      </c>
    </row>
    <row r="41" spans="2:15" x14ac:dyDescent="0.25">
      <c r="B41" s="64">
        <f t="shared" si="0"/>
        <v>45445.416666666591</v>
      </c>
      <c r="C41" s="65">
        <f t="shared" si="1"/>
        <v>1.416666666666667</v>
      </c>
      <c r="D41" s="124">
        <v>3.4</v>
      </c>
      <c r="E41" s="124">
        <v>4.4000000000000004</v>
      </c>
      <c r="F41" s="125">
        <v>17.2</v>
      </c>
      <c r="I41" s="64">
        <f t="shared" si="2"/>
        <v>45443.666666666744</v>
      </c>
      <c r="J41" s="65">
        <f t="shared" si="3"/>
        <v>0.66666666666666674</v>
      </c>
      <c r="K41" s="68">
        <v>8.3000000000000007</v>
      </c>
      <c r="M41" s="64">
        <f t="shared" si="5"/>
        <v>45445.666666666744</v>
      </c>
      <c r="N41" s="65">
        <f t="shared" si="5"/>
        <v>0.66666666666666674</v>
      </c>
      <c r="O41" s="116">
        <f>'CCE PLOM Diario'!L35+'CCE PLOME Diario'!L35</f>
        <v>41.459999999999994</v>
      </c>
    </row>
    <row r="42" spans="2:15" x14ac:dyDescent="0.25">
      <c r="B42" s="64">
        <f t="shared" si="0"/>
        <v>45445.458333333256</v>
      </c>
      <c r="C42" s="65">
        <f t="shared" si="1"/>
        <v>1.4583333333333337</v>
      </c>
      <c r="D42" s="124">
        <v>3.9</v>
      </c>
      <c r="E42" s="124">
        <v>5.0999999999999996</v>
      </c>
      <c r="F42" s="125">
        <v>17.600000000000001</v>
      </c>
      <c r="I42" s="64">
        <f t="shared" si="2"/>
        <v>45443.68750000008</v>
      </c>
      <c r="J42" s="65">
        <f t="shared" si="3"/>
        <v>0.68750000000000011</v>
      </c>
      <c r="K42" s="68">
        <v>12.7</v>
      </c>
      <c r="M42" s="64">
        <f t="shared" si="5"/>
        <v>45445.68750000008</v>
      </c>
      <c r="N42" s="65">
        <f t="shared" si="5"/>
        <v>0.68750000000000011</v>
      </c>
      <c r="O42" s="116">
        <f>'CCE PLOM Diario'!L36+'CCE PLOME Diario'!L36</f>
        <v>41.459999999999994</v>
      </c>
    </row>
    <row r="43" spans="2:15" x14ac:dyDescent="0.25">
      <c r="B43" s="64">
        <f t="shared" si="0"/>
        <v>45445.49999999992</v>
      </c>
      <c r="C43" s="65">
        <f t="shared" si="1"/>
        <v>1.5000000000000004</v>
      </c>
      <c r="D43" s="124">
        <v>4.4000000000000004</v>
      </c>
      <c r="E43" s="124">
        <v>5.7</v>
      </c>
      <c r="F43" s="125">
        <v>18</v>
      </c>
      <c r="I43" s="64">
        <f t="shared" si="2"/>
        <v>45443.708333333416</v>
      </c>
      <c r="J43" s="65">
        <f t="shared" si="3"/>
        <v>0.70833333333333348</v>
      </c>
      <c r="K43" s="68">
        <v>10.199999999999999</v>
      </c>
      <c r="M43" s="64">
        <f t="shared" ref="M43:N56" si="6">M42+TIME(0,30,0)</f>
        <v>45445.708333333416</v>
      </c>
      <c r="N43" s="65">
        <f t="shared" si="6"/>
        <v>0.70833333333333348</v>
      </c>
      <c r="O43" s="116">
        <f>'CCE PLOM Diario'!L37+'CCE PLOME Diario'!L37</f>
        <v>31.566000000000003</v>
      </c>
    </row>
    <row r="44" spans="2:15" x14ac:dyDescent="0.25">
      <c r="B44" s="64">
        <f t="shared" si="0"/>
        <v>45445.541666666584</v>
      </c>
      <c r="C44" s="65">
        <f t="shared" si="1"/>
        <v>1.5416666666666672</v>
      </c>
      <c r="D44" s="124">
        <v>5</v>
      </c>
      <c r="E44" s="124">
        <v>6.4</v>
      </c>
      <c r="F44" s="125">
        <v>18.399999999999999</v>
      </c>
      <c r="I44" s="64">
        <f t="shared" si="2"/>
        <v>45443.729166666752</v>
      </c>
      <c r="J44" s="65">
        <f t="shared" si="3"/>
        <v>0.72916666666666685</v>
      </c>
      <c r="K44" s="68">
        <v>13.4</v>
      </c>
      <c r="M44" s="64">
        <f t="shared" si="6"/>
        <v>45445.729166666752</v>
      </c>
      <c r="N44" s="65">
        <f t="shared" si="6"/>
        <v>0.72916666666666685</v>
      </c>
      <c r="O44" s="116">
        <f>'CCE PLOM Diario'!L38+'CCE PLOME Diario'!L38</f>
        <v>31.566000000000003</v>
      </c>
    </row>
    <row r="45" spans="2:15" x14ac:dyDescent="0.25">
      <c r="B45" s="64">
        <f t="shared" si="0"/>
        <v>45445.583333333248</v>
      </c>
      <c r="C45" s="65">
        <f t="shared" si="1"/>
        <v>1.5833333333333339</v>
      </c>
      <c r="D45" s="124">
        <v>5</v>
      </c>
      <c r="E45" s="124">
        <v>6.4</v>
      </c>
      <c r="F45" s="125">
        <v>18.3</v>
      </c>
      <c r="I45" s="64">
        <f t="shared" si="2"/>
        <v>45443.750000000087</v>
      </c>
      <c r="J45" s="65">
        <f t="shared" si="3"/>
        <v>0.75000000000000022</v>
      </c>
      <c r="K45" s="68">
        <v>12.5</v>
      </c>
      <c r="M45" s="64">
        <f t="shared" si="6"/>
        <v>45445.750000000087</v>
      </c>
      <c r="N45" s="65">
        <f t="shared" si="6"/>
        <v>0.75000000000000022</v>
      </c>
      <c r="O45" s="116">
        <f>'CCE PLOM Diario'!L39+'CCE PLOME Diario'!L39</f>
        <v>23.250000000000004</v>
      </c>
    </row>
    <row r="46" spans="2:15" x14ac:dyDescent="0.25">
      <c r="B46" s="64">
        <f t="shared" si="0"/>
        <v>45445.624999999913</v>
      </c>
      <c r="C46" s="65">
        <f t="shared" si="1"/>
        <v>1.6250000000000007</v>
      </c>
      <c r="D46" s="124">
        <v>5</v>
      </c>
      <c r="E46" s="124">
        <v>6.4</v>
      </c>
      <c r="F46" s="125">
        <v>18.100000000000001</v>
      </c>
      <c r="I46" s="64">
        <f t="shared" si="2"/>
        <v>45443.770833333423</v>
      </c>
      <c r="J46" s="65">
        <f t="shared" si="3"/>
        <v>0.77083333333333359</v>
      </c>
      <c r="K46" s="68">
        <v>13</v>
      </c>
      <c r="M46" s="64">
        <f t="shared" si="6"/>
        <v>45445.770833333423</v>
      </c>
      <c r="N46" s="65">
        <f t="shared" si="6"/>
        <v>0.77083333333333359</v>
      </c>
      <c r="O46" s="116">
        <f>'CCE PLOM Diario'!L40+'CCE PLOME Diario'!L40</f>
        <v>23.250000000000004</v>
      </c>
    </row>
    <row r="47" spans="2:15" x14ac:dyDescent="0.25">
      <c r="B47" s="64">
        <f t="shared" si="0"/>
        <v>45445.666666666577</v>
      </c>
      <c r="C47" s="65">
        <f t="shared" si="1"/>
        <v>1.6666666666666674</v>
      </c>
      <c r="D47" s="124">
        <v>5</v>
      </c>
      <c r="E47" s="124">
        <v>6.4</v>
      </c>
      <c r="F47" s="125">
        <v>18</v>
      </c>
      <c r="I47" s="64">
        <f t="shared" si="2"/>
        <v>45443.791666666759</v>
      </c>
      <c r="J47" s="65">
        <f t="shared" si="3"/>
        <v>0.79166666666666696</v>
      </c>
      <c r="K47" s="68">
        <v>12.6</v>
      </c>
      <c r="M47" s="64">
        <f t="shared" si="6"/>
        <v>45445.791666666759</v>
      </c>
      <c r="N47" s="65">
        <f t="shared" si="6"/>
        <v>0.79166666666666696</v>
      </c>
      <c r="O47" s="116">
        <f>'CCE PLOM Diario'!L41+'CCE PLOME Diario'!L41</f>
        <v>16.324000000000002</v>
      </c>
    </row>
    <row r="48" spans="2:15" x14ac:dyDescent="0.25">
      <c r="B48" s="64">
        <f t="shared" si="0"/>
        <v>45445.708333333241</v>
      </c>
      <c r="C48" s="65">
        <f t="shared" si="1"/>
        <v>1.7083333333333341</v>
      </c>
      <c r="D48" s="124">
        <v>4.5</v>
      </c>
      <c r="E48" s="124">
        <v>5.8</v>
      </c>
      <c r="F48" s="125">
        <v>17.899999999999999</v>
      </c>
      <c r="I48" s="64">
        <f t="shared" si="2"/>
        <v>45443.812500000095</v>
      </c>
      <c r="J48" s="65">
        <f t="shared" si="3"/>
        <v>0.81250000000000033</v>
      </c>
      <c r="K48" s="68">
        <v>13.7</v>
      </c>
      <c r="M48" s="64">
        <f t="shared" si="6"/>
        <v>45445.812500000095</v>
      </c>
      <c r="N48" s="65">
        <f t="shared" si="6"/>
        <v>0.81250000000000033</v>
      </c>
      <c r="O48" s="116">
        <f>'CCE PLOM Diario'!L42+'CCE PLOME Diario'!L42</f>
        <v>16.324000000000002</v>
      </c>
    </row>
    <row r="49" spans="2:15" x14ac:dyDescent="0.25">
      <c r="B49" s="64">
        <f t="shared" si="0"/>
        <v>45445.749999999905</v>
      </c>
      <c r="C49" s="65">
        <f t="shared" si="1"/>
        <v>1.7500000000000009</v>
      </c>
      <c r="D49" s="124">
        <v>4</v>
      </c>
      <c r="E49" s="124">
        <v>5.2</v>
      </c>
      <c r="F49" s="125">
        <v>17.5</v>
      </c>
      <c r="I49" s="64">
        <f t="shared" si="2"/>
        <v>45443.83333333343</v>
      </c>
      <c r="J49" s="65">
        <f t="shared" si="3"/>
        <v>0.8333333333333337</v>
      </c>
      <c r="K49" s="68">
        <v>15.4</v>
      </c>
      <c r="M49" s="64">
        <f t="shared" si="6"/>
        <v>45445.83333333343</v>
      </c>
      <c r="N49" s="65">
        <f t="shared" si="6"/>
        <v>0.8333333333333337</v>
      </c>
      <c r="O49" s="116">
        <f>'CCE PLOM Diario'!L43+'CCE PLOME Diario'!L43</f>
        <v>12.349</v>
      </c>
    </row>
    <row r="50" spans="2:15" x14ac:dyDescent="0.25">
      <c r="B50" s="64">
        <f t="shared" si="0"/>
        <v>45445.79166666657</v>
      </c>
      <c r="C50" s="65">
        <f t="shared" si="1"/>
        <v>1.7916666666666676</v>
      </c>
      <c r="D50" s="124">
        <v>3.5</v>
      </c>
      <c r="E50" s="124">
        <v>4.5999999999999996</v>
      </c>
      <c r="F50" s="125">
        <v>17.2</v>
      </c>
      <c r="I50" s="64">
        <f t="shared" si="2"/>
        <v>45443.854166666766</v>
      </c>
      <c r="J50" s="65">
        <f t="shared" si="3"/>
        <v>0.85416666666666707</v>
      </c>
      <c r="K50" s="68">
        <v>13.2</v>
      </c>
      <c r="M50" s="64">
        <f t="shared" si="6"/>
        <v>45445.854166666766</v>
      </c>
      <c r="N50" s="65">
        <f t="shared" si="6"/>
        <v>0.85416666666666707</v>
      </c>
      <c r="O50" s="116">
        <f>'CCE PLOM Diario'!L44+'CCE PLOME Diario'!L44</f>
        <v>12.349</v>
      </c>
    </row>
    <row r="51" spans="2:15" x14ac:dyDescent="0.25">
      <c r="B51" s="64">
        <f t="shared" si="0"/>
        <v>45445.833333333234</v>
      </c>
      <c r="C51" s="65">
        <f t="shared" si="1"/>
        <v>1.8333333333333344</v>
      </c>
      <c r="D51" s="124">
        <v>3.3</v>
      </c>
      <c r="E51" s="124">
        <v>4.4000000000000004</v>
      </c>
      <c r="F51" s="125">
        <v>17.2</v>
      </c>
      <c r="I51" s="64">
        <f t="shared" si="2"/>
        <v>45443.875000000102</v>
      </c>
      <c r="J51" s="65">
        <f t="shared" si="3"/>
        <v>0.87500000000000044</v>
      </c>
      <c r="K51" s="68">
        <v>14.4</v>
      </c>
      <c r="M51" s="64">
        <f t="shared" si="6"/>
        <v>45445.875000000102</v>
      </c>
      <c r="N51" s="65">
        <f t="shared" si="6"/>
        <v>0.87500000000000044</v>
      </c>
      <c r="O51" s="116">
        <f>'CCE PLOM Diario'!L45+'CCE PLOME Diario'!L45</f>
        <v>12.349</v>
      </c>
    </row>
    <row r="52" spans="2:15" x14ac:dyDescent="0.25">
      <c r="B52" s="64">
        <f t="shared" si="0"/>
        <v>45445.874999999898</v>
      </c>
      <c r="C52" s="65">
        <f t="shared" si="1"/>
        <v>1.8750000000000011</v>
      </c>
      <c r="D52" s="124">
        <v>3.2</v>
      </c>
      <c r="E52" s="124">
        <v>4.3</v>
      </c>
      <c r="F52" s="125">
        <v>17.2</v>
      </c>
      <c r="I52" s="64">
        <f t="shared" si="2"/>
        <v>45443.895833333438</v>
      </c>
      <c r="J52" s="65">
        <f t="shared" si="3"/>
        <v>0.89583333333333381</v>
      </c>
      <c r="K52" s="68">
        <v>11.3</v>
      </c>
      <c r="M52" s="64">
        <f t="shared" si="6"/>
        <v>45445.895833333438</v>
      </c>
      <c r="N52" s="65">
        <f t="shared" si="6"/>
        <v>0.89583333333333381</v>
      </c>
      <c r="O52" s="116">
        <f>'CCE PLOM Diario'!L46+'CCE PLOME Diario'!L46</f>
        <v>12.349</v>
      </c>
    </row>
    <row r="53" spans="2:15" x14ac:dyDescent="0.25">
      <c r="B53" s="64">
        <f t="shared" si="0"/>
        <v>45445.916666666562</v>
      </c>
      <c r="C53" s="65">
        <f t="shared" si="1"/>
        <v>1.9166666666666679</v>
      </c>
      <c r="D53" s="124">
        <v>3.1</v>
      </c>
      <c r="E53" s="124">
        <v>4.2</v>
      </c>
      <c r="F53" s="125">
        <v>17.3</v>
      </c>
      <c r="I53" s="64">
        <f t="shared" si="2"/>
        <v>45443.916666666773</v>
      </c>
      <c r="J53" s="65">
        <f t="shared" si="3"/>
        <v>0.91666666666666718</v>
      </c>
      <c r="K53" s="68">
        <v>13.2</v>
      </c>
      <c r="M53" s="64">
        <f t="shared" si="6"/>
        <v>45445.916666666773</v>
      </c>
      <c r="N53" s="65">
        <f t="shared" si="6"/>
        <v>0.91666666666666718</v>
      </c>
      <c r="O53" s="116">
        <f>'CCE PLOM Diario'!L47+'CCE PLOME Diario'!L47</f>
        <v>12.349</v>
      </c>
    </row>
    <row r="54" spans="2:15" x14ac:dyDescent="0.25">
      <c r="B54" s="64">
        <f t="shared" si="0"/>
        <v>45445.958333333227</v>
      </c>
      <c r="C54" s="65">
        <f t="shared" si="1"/>
        <v>1.9583333333333346</v>
      </c>
      <c r="D54" s="124">
        <v>3.6</v>
      </c>
      <c r="E54" s="124">
        <v>4.7</v>
      </c>
      <c r="F54" s="125">
        <v>16.899999999999999</v>
      </c>
      <c r="I54" s="64">
        <f t="shared" si="2"/>
        <v>45443.937500000109</v>
      </c>
      <c r="J54" s="65">
        <f t="shared" si="3"/>
        <v>0.93750000000000056</v>
      </c>
      <c r="K54" s="68">
        <v>12.4</v>
      </c>
      <c r="M54" s="64">
        <f t="shared" si="6"/>
        <v>45445.937500000109</v>
      </c>
      <c r="N54" s="65">
        <f t="shared" si="6"/>
        <v>0.93750000000000056</v>
      </c>
      <c r="O54" s="116">
        <f>'CCE PLOM Diario'!L48+'CCE PLOME Diario'!L48</f>
        <v>12.349</v>
      </c>
    </row>
    <row r="55" spans="2:15" x14ac:dyDescent="0.25">
      <c r="B55" s="64">
        <f t="shared" si="0"/>
        <v>45445.999999999891</v>
      </c>
      <c r="C55" s="65">
        <f t="shared" si="1"/>
        <v>2.0000000000000013</v>
      </c>
      <c r="D55" s="124">
        <v>4</v>
      </c>
      <c r="E55" s="124">
        <v>5.2</v>
      </c>
      <c r="F55" s="125">
        <v>16.5</v>
      </c>
      <c r="I55" s="64">
        <f t="shared" si="2"/>
        <v>45443.958333333445</v>
      </c>
      <c r="J55" s="65">
        <f t="shared" si="3"/>
        <v>0.95833333333333393</v>
      </c>
      <c r="K55" s="68">
        <v>10.3</v>
      </c>
      <c r="M55" s="64">
        <f t="shared" si="6"/>
        <v>45445.958333333445</v>
      </c>
      <c r="N55" s="65">
        <f t="shared" si="6"/>
        <v>0.95833333333333393</v>
      </c>
      <c r="O55" s="116">
        <f>'CCE PLOM Diario'!L49+'CCE PLOME Diario'!L49</f>
        <v>17.565999999999999</v>
      </c>
    </row>
    <row r="56" spans="2:15" ht="15.75" thickBot="1" x14ac:dyDescent="0.3">
      <c r="B56" s="64">
        <f t="shared" si="0"/>
        <v>45446.041666666555</v>
      </c>
      <c r="C56" s="65">
        <f t="shared" si="1"/>
        <v>2.0416666666666679</v>
      </c>
      <c r="D56" s="124">
        <v>4.4000000000000004</v>
      </c>
      <c r="E56" s="124">
        <v>5.7</v>
      </c>
      <c r="F56" s="125">
        <v>16.100000000000001</v>
      </c>
      <c r="I56" s="66">
        <f t="shared" si="2"/>
        <v>45443.979166666781</v>
      </c>
      <c r="J56" s="67">
        <f t="shared" si="3"/>
        <v>0.9791666666666673</v>
      </c>
      <c r="K56" s="69">
        <v>11.3</v>
      </c>
      <c r="M56" s="66">
        <f t="shared" si="6"/>
        <v>45445.979166666781</v>
      </c>
      <c r="N56" s="67">
        <f t="shared" si="6"/>
        <v>0.9791666666666673</v>
      </c>
      <c r="O56" s="117">
        <f>'CCE PLOM Diario'!L50+'CCE PLOME Diario'!L50</f>
        <v>17.565999999999999</v>
      </c>
    </row>
    <row r="57" spans="2:15" x14ac:dyDescent="0.25">
      <c r="B57" s="64">
        <f t="shared" si="0"/>
        <v>45446.083333333219</v>
      </c>
      <c r="C57" s="65">
        <f t="shared" si="1"/>
        <v>2.0833333333333344</v>
      </c>
      <c r="D57" s="124">
        <v>4.4000000000000004</v>
      </c>
      <c r="E57" s="124">
        <v>5.7</v>
      </c>
      <c r="F57" s="125">
        <v>16.100000000000001</v>
      </c>
      <c r="I57" s="55"/>
      <c r="J57" s="56"/>
      <c r="K57">
        <v>8.3000000000000007</v>
      </c>
    </row>
    <row r="58" spans="2:15" x14ac:dyDescent="0.25">
      <c r="B58" s="64">
        <f t="shared" si="0"/>
        <v>45446.124999999884</v>
      </c>
      <c r="C58" s="65">
        <f t="shared" si="1"/>
        <v>2.1250000000000009</v>
      </c>
      <c r="D58" s="124">
        <v>4.4000000000000004</v>
      </c>
      <c r="E58" s="124">
        <v>5.7</v>
      </c>
      <c r="F58" s="125">
        <v>16.2</v>
      </c>
      <c r="I58" s="55"/>
      <c r="J58" s="56"/>
    </row>
    <row r="59" spans="2:15" x14ac:dyDescent="0.25">
      <c r="B59" s="64">
        <f t="shared" si="0"/>
        <v>45446.166666666548</v>
      </c>
      <c r="C59" s="65">
        <f t="shared" si="1"/>
        <v>2.1666666666666674</v>
      </c>
      <c r="D59" s="124">
        <v>4.5</v>
      </c>
      <c r="E59" s="124">
        <v>5.8</v>
      </c>
      <c r="F59" s="125">
        <v>16.3</v>
      </c>
      <c r="I59" s="55"/>
      <c r="J59" s="56"/>
    </row>
    <row r="60" spans="2:15" x14ac:dyDescent="0.25">
      <c r="B60" s="64">
        <f t="shared" si="0"/>
        <v>45446.208333333212</v>
      </c>
      <c r="C60" s="65">
        <f t="shared" si="1"/>
        <v>2.2083333333333339</v>
      </c>
      <c r="D60" s="124">
        <v>3.9</v>
      </c>
      <c r="E60" s="124">
        <v>5</v>
      </c>
      <c r="F60" s="125">
        <v>16.3</v>
      </c>
      <c r="I60" s="55"/>
      <c r="J60" s="56"/>
    </row>
    <row r="61" spans="2:15" x14ac:dyDescent="0.25">
      <c r="B61" s="64">
        <f t="shared" si="0"/>
        <v>45446.249999999876</v>
      </c>
      <c r="C61" s="65">
        <f t="shared" si="1"/>
        <v>2.2500000000000004</v>
      </c>
      <c r="D61" s="124">
        <v>3.3</v>
      </c>
      <c r="E61" s="124">
        <v>4.3</v>
      </c>
      <c r="F61" s="125">
        <v>16.600000000000001</v>
      </c>
      <c r="I61" s="55"/>
      <c r="J61" s="56"/>
    </row>
    <row r="62" spans="2:15" x14ac:dyDescent="0.25">
      <c r="B62" s="64">
        <f t="shared" si="0"/>
        <v>45446.291666666541</v>
      </c>
      <c r="C62" s="65">
        <f t="shared" si="1"/>
        <v>2.291666666666667</v>
      </c>
      <c r="D62" s="124">
        <v>2.7</v>
      </c>
      <c r="E62" s="124">
        <v>3.6</v>
      </c>
      <c r="F62" s="125">
        <v>17.100000000000001</v>
      </c>
      <c r="I62" s="55"/>
      <c r="J62" s="56"/>
    </row>
    <row r="63" spans="2:15" x14ac:dyDescent="0.25">
      <c r="B63" s="64">
        <f t="shared" si="0"/>
        <v>45446.333333333205</v>
      </c>
      <c r="C63" s="65">
        <f t="shared" si="1"/>
        <v>2.3333333333333335</v>
      </c>
      <c r="D63" s="124">
        <v>2.6</v>
      </c>
      <c r="E63" s="124">
        <v>3.5</v>
      </c>
      <c r="F63" s="125">
        <v>17.399999999999999</v>
      </c>
      <c r="I63" s="55"/>
      <c r="J63" s="56"/>
    </row>
    <row r="64" spans="2:15" x14ac:dyDescent="0.25">
      <c r="B64" s="64">
        <f t="shared" si="0"/>
        <v>45446.374999999869</v>
      </c>
      <c r="C64" s="65">
        <f t="shared" si="1"/>
        <v>2.375</v>
      </c>
      <c r="D64" s="124">
        <v>2.5</v>
      </c>
      <c r="E64" s="124">
        <v>3.4</v>
      </c>
      <c r="F64" s="125">
        <v>17.600000000000001</v>
      </c>
      <c r="I64" s="55"/>
      <c r="J64" s="56"/>
    </row>
    <row r="65" spans="2:10" x14ac:dyDescent="0.25">
      <c r="B65" s="64">
        <f t="shared" si="0"/>
        <v>45446.416666666533</v>
      </c>
      <c r="C65" s="65">
        <f t="shared" si="1"/>
        <v>2.4166666666666665</v>
      </c>
      <c r="D65" s="124">
        <v>2.4</v>
      </c>
      <c r="E65" s="124">
        <v>3.3</v>
      </c>
      <c r="F65" s="125">
        <v>17.899999999999999</v>
      </c>
      <c r="I65" s="55"/>
      <c r="J65" s="56"/>
    </row>
    <row r="66" spans="2:10" x14ac:dyDescent="0.25">
      <c r="B66" s="64">
        <f t="shared" si="0"/>
        <v>45446.458333333198</v>
      </c>
      <c r="C66" s="65">
        <f t="shared" si="1"/>
        <v>2.458333333333333</v>
      </c>
      <c r="D66" s="124">
        <v>2.9</v>
      </c>
      <c r="E66" s="124">
        <v>3.9</v>
      </c>
      <c r="F66" s="125">
        <v>18.2</v>
      </c>
      <c r="I66" s="55"/>
      <c r="J66" s="56"/>
    </row>
    <row r="67" spans="2:10" x14ac:dyDescent="0.25">
      <c r="B67" s="64">
        <f t="shared" si="0"/>
        <v>45446.499999999862</v>
      </c>
      <c r="C67" s="65">
        <f t="shared" si="1"/>
        <v>2.4999999999999996</v>
      </c>
      <c r="D67" s="124">
        <v>3.4</v>
      </c>
      <c r="E67" s="124">
        <v>4.5</v>
      </c>
      <c r="F67" s="125">
        <v>18.5</v>
      </c>
      <c r="I67" s="55"/>
      <c r="J67" s="56"/>
    </row>
    <row r="68" spans="2:10" x14ac:dyDescent="0.25">
      <c r="B68" s="64">
        <f t="shared" si="0"/>
        <v>45446.541666666526</v>
      </c>
      <c r="C68" s="65">
        <f t="shared" si="1"/>
        <v>2.5416666666666661</v>
      </c>
      <c r="D68" s="124">
        <v>3.9</v>
      </c>
      <c r="E68" s="124">
        <v>5.0999999999999996</v>
      </c>
      <c r="F68" s="125">
        <v>18.7</v>
      </c>
      <c r="I68" s="55"/>
      <c r="J68" s="56"/>
    </row>
    <row r="69" spans="2:10" x14ac:dyDescent="0.25">
      <c r="B69" s="64">
        <f t="shared" si="0"/>
        <v>45446.58333333319</v>
      </c>
      <c r="C69" s="65">
        <f t="shared" si="1"/>
        <v>2.5833333333333326</v>
      </c>
      <c r="D69" s="124">
        <v>4.7</v>
      </c>
      <c r="E69" s="124">
        <v>6.1</v>
      </c>
      <c r="F69" s="125">
        <v>18.7</v>
      </c>
      <c r="I69" s="55"/>
      <c r="J69" s="56"/>
    </row>
    <row r="70" spans="2:10" x14ac:dyDescent="0.25">
      <c r="B70" s="64">
        <f t="shared" si="0"/>
        <v>45446.624999999854</v>
      </c>
      <c r="C70" s="65">
        <f t="shared" si="1"/>
        <v>2.6249999999999991</v>
      </c>
      <c r="D70" s="124">
        <v>5.5</v>
      </c>
      <c r="E70" s="124">
        <v>7</v>
      </c>
      <c r="F70" s="125">
        <v>18.7</v>
      </c>
      <c r="I70" s="55"/>
      <c r="J70" s="56"/>
    </row>
    <row r="71" spans="2:10" x14ac:dyDescent="0.25">
      <c r="B71" s="64">
        <f t="shared" si="0"/>
        <v>45446.666666666519</v>
      </c>
      <c r="C71" s="65">
        <f t="shared" si="1"/>
        <v>2.6666666666666656</v>
      </c>
      <c r="D71" s="124">
        <v>6.3</v>
      </c>
      <c r="E71" s="124">
        <v>8</v>
      </c>
      <c r="F71" s="125">
        <v>18.7</v>
      </c>
      <c r="I71" s="55"/>
      <c r="J71" s="56"/>
    </row>
    <row r="72" spans="2:10" x14ac:dyDescent="0.25">
      <c r="B72" s="64">
        <f t="shared" si="0"/>
        <v>45446.708333333183</v>
      </c>
      <c r="C72" s="65">
        <f t="shared" si="1"/>
        <v>2.7083333333333321</v>
      </c>
      <c r="D72" s="124">
        <v>6.1</v>
      </c>
      <c r="E72" s="124">
        <v>7.7</v>
      </c>
      <c r="F72" s="125">
        <v>18.8</v>
      </c>
      <c r="I72" s="55"/>
      <c r="J72" s="56"/>
    </row>
    <row r="73" spans="2:10" x14ac:dyDescent="0.25">
      <c r="B73" s="64">
        <f t="shared" si="0"/>
        <v>45446.749999999847</v>
      </c>
      <c r="C73" s="65">
        <f t="shared" si="1"/>
        <v>2.7499999999999987</v>
      </c>
      <c r="D73" s="124">
        <v>5.9</v>
      </c>
      <c r="E73" s="124">
        <v>7.5</v>
      </c>
      <c r="F73" s="125">
        <v>18.600000000000001</v>
      </c>
      <c r="I73" s="55"/>
      <c r="J73" s="56"/>
    </row>
    <row r="74" spans="2:10" x14ac:dyDescent="0.25">
      <c r="B74" s="64">
        <f t="shared" si="0"/>
        <v>45446.791666666511</v>
      </c>
      <c r="C74" s="65">
        <f t="shared" si="1"/>
        <v>2.7916666666666652</v>
      </c>
      <c r="D74" s="124">
        <v>5.7</v>
      </c>
      <c r="E74" s="124">
        <v>7.2</v>
      </c>
      <c r="F74" s="125">
        <v>18.5</v>
      </c>
      <c r="I74" s="55"/>
      <c r="J74" s="56"/>
    </row>
    <row r="75" spans="2:10" x14ac:dyDescent="0.25">
      <c r="B75" s="64">
        <f t="shared" ref="B75:B138" si="7">B74+TIME(1,0,0)</f>
        <v>45446.833333333176</v>
      </c>
      <c r="C75" s="65">
        <f t="shared" ref="C75:C138" si="8">C74+TIME(1,0,0)</f>
        <v>2.8333333333333317</v>
      </c>
      <c r="D75" s="124">
        <v>5.7</v>
      </c>
      <c r="E75" s="124">
        <v>7.2</v>
      </c>
      <c r="F75" s="125">
        <v>18</v>
      </c>
      <c r="I75" s="55"/>
      <c r="J75" s="56"/>
    </row>
    <row r="76" spans="2:10" x14ac:dyDescent="0.25">
      <c r="B76" s="64">
        <f t="shared" si="7"/>
        <v>45446.87499999984</v>
      </c>
      <c r="C76" s="65">
        <f t="shared" si="8"/>
        <v>2.8749999999999982</v>
      </c>
      <c r="D76" s="124">
        <v>5.7</v>
      </c>
      <c r="E76" s="124">
        <v>7.3</v>
      </c>
      <c r="F76" s="125">
        <v>17.600000000000001</v>
      </c>
      <c r="I76" s="55"/>
      <c r="J76" s="56"/>
    </row>
    <row r="77" spans="2:10" x14ac:dyDescent="0.25">
      <c r="B77" s="64">
        <f t="shared" si="7"/>
        <v>45446.916666666504</v>
      </c>
      <c r="C77" s="65">
        <f t="shared" si="8"/>
        <v>2.9166666666666647</v>
      </c>
      <c r="D77" s="124">
        <v>5.7</v>
      </c>
      <c r="E77" s="124">
        <v>7.3</v>
      </c>
      <c r="F77" s="125">
        <v>17.2</v>
      </c>
      <c r="I77" s="55"/>
      <c r="J77" s="56"/>
    </row>
    <row r="78" spans="2:10" x14ac:dyDescent="0.25">
      <c r="B78" s="64">
        <f t="shared" si="7"/>
        <v>45446.958333333168</v>
      </c>
      <c r="C78" s="65">
        <f t="shared" si="8"/>
        <v>2.9583333333333313</v>
      </c>
      <c r="D78" s="124">
        <v>5.5</v>
      </c>
      <c r="E78" s="124">
        <v>7.1</v>
      </c>
      <c r="F78" s="125">
        <v>17.2</v>
      </c>
      <c r="I78" s="55"/>
      <c r="J78" s="56"/>
    </row>
    <row r="79" spans="2:10" x14ac:dyDescent="0.25">
      <c r="B79" s="64">
        <f t="shared" si="7"/>
        <v>45446.999999999833</v>
      </c>
      <c r="C79" s="65">
        <f t="shared" si="8"/>
        <v>2.9999999999999978</v>
      </c>
      <c r="D79" s="124">
        <v>5.3</v>
      </c>
      <c r="E79" s="124">
        <v>6.8</v>
      </c>
      <c r="F79" s="125">
        <v>17.2</v>
      </c>
      <c r="I79" s="55"/>
      <c r="J79" s="56"/>
    </row>
    <row r="80" spans="2:10" x14ac:dyDescent="0.25">
      <c r="B80" s="64">
        <f t="shared" si="7"/>
        <v>45447.041666666497</v>
      </c>
      <c r="C80" s="65">
        <f t="shared" si="8"/>
        <v>3.0416666666666643</v>
      </c>
      <c r="D80" s="124">
        <v>5.0999999999999996</v>
      </c>
      <c r="E80" s="124">
        <v>6.6</v>
      </c>
      <c r="F80" s="125">
        <v>17.100000000000001</v>
      </c>
      <c r="I80" s="55"/>
      <c r="J80" s="56"/>
    </row>
    <row r="81" spans="2:10" x14ac:dyDescent="0.25">
      <c r="B81" s="64">
        <f t="shared" si="7"/>
        <v>45447.083333333161</v>
      </c>
      <c r="C81" s="65">
        <f t="shared" si="8"/>
        <v>3.0833333333333308</v>
      </c>
      <c r="D81" s="124">
        <v>4.8</v>
      </c>
      <c r="E81" s="124">
        <v>6.2</v>
      </c>
      <c r="F81" s="125">
        <v>16.899999999999999</v>
      </c>
      <c r="I81" s="55"/>
      <c r="J81" s="56"/>
    </row>
    <row r="82" spans="2:10" x14ac:dyDescent="0.25">
      <c r="B82" s="64">
        <f t="shared" si="7"/>
        <v>45447.124999999825</v>
      </c>
      <c r="C82" s="65">
        <f t="shared" si="8"/>
        <v>3.1249999999999973</v>
      </c>
      <c r="D82" s="124">
        <v>4.5</v>
      </c>
      <c r="E82" s="124">
        <v>5.8</v>
      </c>
      <c r="F82" s="125">
        <v>16.600000000000001</v>
      </c>
      <c r="I82" s="55"/>
      <c r="J82" s="56"/>
    </row>
    <row r="83" spans="2:10" x14ac:dyDescent="0.25">
      <c r="B83" s="64">
        <f t="shared" si="7"/>
        <v>45447.16666666649</v>
      </c>
      <c r="C83" s="65">
        <f t="shared" si="8"/>
        <v>3.1666666666666639</v>
      </c>
      <c r="D83" s="124">
        <v>4.0999999999999996</v>
      </c>
      <c r="E83" s="124">
        <v>5.3</v>
      </c>
      <c r="F83" s="125">
        <v>16.3</v>
      </c>
      <c r="I83" s="55"/>
      <c r="J83" s="56"/>
    </row>
    <row r="84" spans="2:10" x14ac:dyDescent="0.25">
      <c r="B84" s="64">
        <f t="shared" si="7"/>
        <v>45447.208333333154</v>
      </c>
      <c r="C84" s="65">
        <f t="shared" si="8"/>
        <v>3.2083333333333304</v>
      </c>
      <c r="D84" s="124">
        <v>3.2</v>
      </c>
      <c r="E84" s="124">
        <v>4.2</v>
      </c>
      <c r="F84" s="125">
        <v>16.399999999999999</v>
      </c>
      <c r="I84" s="55"/>
      <c r="J84" s="56"/>
    </row>
    <row r="85" spans="2:10" x14ac:dyDescent="0.25">
      <c r="B85" s="64">
        <f t="shared" si="7"/>
        <v>45447.249999999818</v>
      </c>
      <c r="C85" s="65">
        <f t="shared" si="8"/>
        <v>3.2499999999999969</v>
      </c>
      <c r="D85" s="124">
        <v>2.2000000000000002</v>
      </c>
      <c r="E85" s="124">
        <v>3.4</v>
      </c>
      <c r="F85" s="125">
        <v>16.8</v>
      </c>
      <c r="I85" s="55"/>
      <c r="J85" s="56"/>
    </row>
    <row r="86" spans="2:10" x14ac:dyDescent="0.25">
      <c r="B86" s="64">
        <f t="shared" si="7"/>
        <v>45447.291666666482</v>
      </c>
      <c r="C86" s="65">
        <f t="shared" si="8"/>
        <v>3.2916666666666634</v>
      </c>
      <c r="D86" s="124">
        <v>1.3</v>
      </c>
      <c r="E86" s="124">
        <v>2.7</v>
      </c>
      <c r="F86" s="125">
        <v>17.3</v>
      </c>
      <c r="I86" s="55"/>
      <c r="J86" s="56"/>
    </row>
    <row r="87" spans="2:10" x14ac:dyDescent="0.25">
      <c r="B87" s="64">
        <f t="shared" si="7"/>
        <v>45447.333333333147</v>
      </c>
      <c r="C87" s="65">
        <f t="shared" si="8"/>
        <v>3.3333333333333299</v>
      </c>
      <c r="D87" s="124">
        <v>1.4</v>
      </c>
      <c r="E87" s="124">
        <v>2.2999999999999998</v>
      </c>
      <c r="F87" s="125">
        <v>17.7</v>
      </c>
      <c r="I87" s="55"/>
      <c r="J87" s="56"/>
    </row>
    <row r="88" spans="2:10" x14ac:dyDescent="0.25">
      <c r="B88" s="64">
        <f t="shared" si="7"/>
        <v>45447.374999999811</v>
      </c>
      <c r="C88" s="65">
        <f t="shared" si="8"/>
        <v>3.3749999999999964</v>
      </c>
      <c r="D88" s="124">
        <v>1.4</v>
      </c>
      <c r="E88" s="124">
        <v>2.1</v>
      </c>
      <c r="F88" s="125">
        <v>18.100000000000001</v>
      </c>
      <c r="I88" s="55"/>
      <c r="J88" s="56"/>
    </row>
    <row r="89" spans="2:10" x14ac:dyDescent="0.25">
      <c r="B89" s="64">
        <f t="shared" si="7"/>
        <v>45447.416666666475</v>
      </c>
      <c r="C89" s="65">
        <f t="shared" si="8"/>
        <v>3.416666666666663</v>
      </c>
      <c r="D89" s="124">
        <v>1.5</v>
      </c>
      <c r="E89" s="124">
        <v>2.2999999999999998</v>
      </c>
      <c r="F89" s="125">
        <v>18.5</v>
      </c>
      <c r="I89" s="55"/>
      <c r="J89" s="56"/>
    </row>
    <row r="90" spans="2:10" x14ac:dyDescent="0.25">
      <c r="B90" s="64">
        <f t="shared" si="7"/>
        <v>45447.458333333139</v>
      </c>
      <c r="C90" s="65">
        <f t="shared" si="8"/>
        <v>3.4583333333333295</v>
      </c>
      <c r="D90" s="124">
        <v>1.8</v>
      </c>
      <c r="E90" s="124">
        <v>2.6</v>
      </c>
      <c r="F90" s="125">
        <v>18.8</v>
      </c>
      <c r="I90" s="55"/>
      <c r="J90" s="56"/>
    </row>
    <row r="91" spans="2:10" x14ac:dyDescent="0.25">
      <c r="B91" s="64">
        <f t="shared" si="7"/>
        <v>45447.499999999804</v>
      </c>
      <c r="C91" s="65">
        <f t="shared" si="8"/>
        <v>3.499999999999996</v>
      </c>
      <c r="D91" s="124">
        <v>2.2000000000000002</v>
      </c>
      <c r="E91" s="124">
        <v>3</v>
      </c>
      <c r="F91" s="125">
        <v>19</v>
      </c>
      <c r="I91" s="55"/>
      <c r="J91" s="56"/>
    </row>
    <row r="92" spans="2:10" x14ac:dyDescent="0.25">
      <c r="B92" s="64">
        <f t="shared" si="7"/>
        <v>45447.541666666468</v>
      </c>
      <c r="C92" s="65">
        <f t="shared" si="8"/>
        <v>3.5416666666666625</v>
      </c>
      <c r="D92" s="124">
        <v>2.5</v>
      </c>
      <c r="E92" s="124">
        <v>3.4</v>
      </c>
      <c r="F92" s="125">
        <v>19.2</v>
      </c>
      <c r="I92" s="55"/>
      <c r="J92" s="56"/>
    </row>
    <row r="93" spans="2:10" x14ac:dyDescent="0.25">
      <c r="B93" s="64">
        <f t="shared" si="7"/>
        <v>45447.583333333132</v>
      </c>
      <c r="C93" s="65">
        <f t="shared" si="8"/>
        <v>3.583333333333329</v>
      </c>
      <c r="D93" s="124">
        <v>2.7</v>
      </c>
      <c r="E93" s="124">
        <v>3.7</v>
      </c>
      <c r="F93" s="125">
        <v>18.899999999999999</v>
      </c>
      <c r="I93" s="55"/>
      <c r="J93" s="56"/>
    </row>
    <row r="94" spans="2:10" x14ac:dyDescent="0.25">
      <c r="B94" s="64">
        <f t="shared" si="7"/>
        <v>45447.624999999796</v>
      </c>
      <c r="C94" s="65">
        <f t="shared" si="8"/>
        <v>3.6249999999999956</v>
      </c>
      <c r="D94" s="124">
        <v>2.9</v>
      </c>
      <c r="E94" s="124">
        <v>3.9</v>
      </c>
      <c r="F94" s="125">
        <v>18.7</v>
      </c>
      <c r="I94" s="55"/>
      <c r="J94" s="56"/>
    </row>
    <row r="95" spans="2:10" x14ac:dyDescent="0.25">
      <c r="B95" s="64">
        <f t="shared" si="7"/>
        <v>45447.666666666461</v>
      </c>
      <c r="C95" s="65">
        <f t="shared" si="8"/>
        <v>3.6666666666666621</v>
      </c>
      <c r="D95" s="124">
        <v>3.1</v>
      </c>
      <c r="E95" s="124">
        <v>4.2</v>
      </c>
      <c r="F95" s="125">
        <v>18.3</v>
      </c>
      <c r="I95" s="55"/>
      <c r="J95" s="56"/>
    </row>
    <row r="96" spans="2:10" x14ac:dyDescent="0.25">
      <c r="B96" s="64">
        <f t="shared" si="7"/>
        <v>45447.708333333125</v>
      </c>
      <c r="C96" s="65">
        <f t="shared" si="8"/>
        <v>3.7083333333333286</v>
      </c>
      <c r="D96" s="124">
        <v>3.6</v>
      </c>
      <c r="E96" s="124">
        <v>4.8</v>
      </c>
      <c r="F96" s="125">
        <v>18.2</v>
      </c>
      <c r="I96" s="55"/>
      <c r="J96" s="56"/>
    </row>
    <row r="97" spans="2:10" x14ac:dyDescent="0.25">
      <c r="B97" s="64">
        <f t="shared" si="7"/>
        <v>45447.749999999789</v>
      </c>
      <c r="C97" s="65">
        <f t="shared" si="8"/>
        <v>3.7499999999999951</v>
      </c>
      <c r="D97" s="124">
        <v>4.0999999999999996</v>
      </c>
      <c r="E97" s="124">
        <v>5.3</v>
      </c>
      <c r="F97" s="125">
        <v>17.7</v>
      </c>
      <c r="I97" s="55"/>
      <c r="J97" s="56"/>
    </row>
    <row r="98" spans="2:10" x14ac:dyDescent="0.25">
      <c r="B98" s="64">
        <f t="shared" si="7"/>
        <v>45447.791666666453</v>
      </c>
      <c r="C98" s="65">
        <f t="shared" si="8"/>
        <v>3.7916666666666616</v>
      </c>
      <c r="D98" s="124">
        <v>4.5999999999999996</v>
      </c>
      <c r="E98" s="124">
        <v>5.9</v>
      </c>
      <c r="F98" s="125">
        <v>17.399999999999999</v>
      </c>
      <c r="I98" s="55"/>
      <c r="J98" s="56"/>
    </row>
    <row r="99" spans="2:10" x14ac:dyDescent="0.25">
      <c r="B99" s="64">
        <f t="shared" si="7"/>
        <v>45447.833333333117</v>
      </c>
      <c r="C99" s="65">
        <f t="shared" si="8"/>
        <v>3.8333333333333282</v>
      </c>
      <c r="D99" s="124">
        <v>4.8</v>
      </c>
      <c r="E99" s="124">
        <v>6.2</v>
      </c>
      <c r="F99" s="125">
        <v>17.600000000000001</v>
      </c>
      <c r="I99" s="55"/>
      <c r="J99" s="56"/>
    </row>
    <row r="100" spans="2:10" x14ac:dyDescent="0.25">
      <c r="B100" s="64">
        <f t="shared" si="7"/>
        <v>45447.874999999782</v>
      </c>
      <c r="C100" s="65">
        <f t="shared" si="8"/>
        <v>3.8749999999999947</v>
      </c>
      <c r="D100" s="124">
        <v>5.0999999999999996</v>
      </c>
      <c r="E100" s="124">
        <v>6.5</v>
      </c>
      <c r="F100" s="125">
        <v>17.7</v>
      </c>
      <c r="I100" s="55"/>
      <c r="J100" s="56"/>
    </row>
    <row r="101" spans="2:10" x14ac:dyDescent="0.25">
      <c r="B101" s="64">
        <f t="shared" si="7"/>
        <v>45447.916666666446</v>
      </c>
      <c r="C101" s="65">
        <f t="shared" si="8"/>
        <v>3.9166666666666612</v>
      </c>
      <c r="D101" s="124">
        <v>5.3</v>
      </c>
      <c r="E101" s="124">
        <v>6.8</v>
      </c>
      <c r="F101" s="125">
        <v>17.899999999999999</v>
      </c>
      <c r="I101" s="55"/>
      <c r="J101" s="56"/>
    </row>
    <row r="102" spans="2:10" x14ac:dyDescent="0.25">
      <c r="B102" s="64">
        <f t="shared" si="7"/>
        <v>45447.95833333311</v>
      </c>
      <c r="C102" s="65">
        <f t="shared" si="8"/>
        <v>3.9583333333333277</v>
      </c>
      <c r="D102" s="124">
        <v>5</v>
      </c>
      <c r="E102" s="124">
        <v>6.4</v>
      </c>
      <c r="F102" s="125">
        <v>17.7</v>
      </c>
      <c r="I102" s="55"/>
      <c r="J102" s="56"/>
    </row>
    <row r="103" spans="2:10" x14ac:dyDescent="0.25">
      <c r="B103" s="64">
        <f t="shared" si="7"/>
        <v>45447.999999999774</v>
      </c>
      <c r="C103" s="65">
        <f t="shared" si="8"/>
        <v>3.9999999999999942</v>
      </c>
      <c r="D103" s="124">
        <v>4.5999999999999996</v>
      </c>
      <c r="E103" s="124">
        <v>5.9</v>
      </c>
      <c r="F103" s="125">
        <v>17.5</v>
      </c>
      <c r="I103" s="55"/>
      <c r="J103" s="56"/>
    </row>
    <row r="104" spans="2:10" x14ac:dyDescent="0.25">
      <c r="B104" s="64">
        <f t="shared" si="7"/>
        <v>45448.041666666439</v>
      </c>
      <c r="C104" s="65">
        <f t="shared" si="8"/>
        <v>4.0416666666666607</v>
      </c>
      <c r="D104" s="124">
        <v>4.2</v>
      </c>
      <c r="E104" s="124">
        <v>5.5</v>
      </c>
      <c r="F104" s="125">
        <v>17.399999999999999</v>
      </c>
      <c r="I104" s="55"/>
      <c r="J104" s="56"/>
    </row>
    <row r="105" spans="2:10" x14ac:dyDescent="0.25">
      <c r="B105" s="64">
        <f t="shared" si="7"/>
        <v>45448.083333333103</v>
      </c>
      <c r="C105" s="65">
        <f t="shared" si="8"/>
        <v>4.0833333333333277</v>
      </c>
      <c r="D105" s="124">
        <v>4.0999999999999996</v>
      </c>
      <c r="E105" s="124">
        <v>5.3</v>
      </c>
      <c r="F105" s="125">
        <v>17.100000000000001</v>
      </c>
      <c r="I105" s="55"/>
      <c r="J105" s="56"/>
    </row>
    <row r="106" spans="2:10" x14ac:dyDescent="0.25">
      <c r="B106" s="64">
        <f t="shared" si="7"/>
        <v>45448.124999999767</v>
      </c>
      <c r="C106" s="65">
        <f t="shared" si="8"/>
        <v>4.1249999999999947</v>
      </c>
      <c r="D106" s="124">
        <v>3.9</v>
      </c>
      <c r="E106" s="124">
        <v>5.0999999999999996</v>
      </c>
      <c r="F106" s="125">
        <v>16.8</v>
      </c>
      <c r="I106" s="55"/>
      <c r="J106" s="56"/>
    </row>
    <row r="107" spans="2:10" x14ac:dyDescent="0.25">
      <c r="B107" s="64">
        <f t="shared" si="7"/>
        <v>45448.166666666431</v>
      </c>
      <c r="C107" s="65">
        <f t="shared" si="8"/>
        <v>4.1666666666666616</v>
      </c>
      <c r="D107" s="124">
        <v>3.8</v>
      </c>
      <c r="E107" s="124">
        <v>4.9000000000000004</v>
      </c>
      <c r="F107" s="125">
        <v>16.5</v>
      </c>
      <c r="I107" s="55"/>
      <c r="J107" s="56"/>
    </row>
    <row r="108" spans="2:10" x14ac:dyDescent="0.25">
      <c r="B108" s="64">
        <f t="shared" si="7"/>
        <v>45448.208333333096</v>
      </c>
      <c r="C108" s="65">
        <f t="shared" si="8"/>
        <v>4.2083333333333286</v>
      </c>
      <c r="D108" s="124">
        <v>2.8</v>
      </c>
      <c r="E108" s="124">
        <v>3.8</v>
      </c>
      <c r="F108" s="125">
        <v>16.3</v>
      </c>
      <c r="I108" s="55"/>
      <c r="J108" s="56"/>
    </row>
    <row r="109" spans="2:10" x14ac:dyDescent="0.25">
      <c r="B109" s="64">
        <f t="shared" si="7"/>
        <v>45448.24999999976</v>
      </c>
      <c r="C109" s="65">
        <f t="shared" si="8"/>
        <v>4.2499999999999956</v>
      </c>
      <c r="D109" s="124">
        <v>1.9</v>
      </c>
      <c r="E109" s="124">
        <v>2.7</v>
      </c>
      <c r="F109" s="125">
        <v>16.399999999999999</v>
      </c>
      <c r="I109" s="55"/>
      <c r="J109" s="56"/>
    </row>
    <row r="110" spans="2:10" x14ac:dyDescent="0.25">
      <c r="B110" s="64">
        <f t="shared" si="7"/>
        <v>45448.291666666424</v>
      </c>
      <c r="C110" s="65">
        <f t="shared" si="8"/>
        <v>4.2916666666666625</v>
      </c>
      <c r="D110" s="124">
        <v>1</v>
      </c>
      <c r="E110" s="124">
        <v>1.6</v>
      </c>
      <c r="F110" s="125">
        <v>16.7</v>
      </c>
      <c r="I110" s="55"/>
      <c r="J110" s="56"/>
    </row>
    <row r="111" spans="2:10" x14ac:dyDescent="0.25">
      <c r="B111" s="64">
        <f t="shared" si="7"/>
        <v>45448.333333333088</v>
      </c>
      <c r="C111" s="65">
        <f t="shared" si="8"/>
        <v>4.3333333333333295</v>
      </c>
      <c r="D111" s="124">
        <v>1.1000000000000001</v>
      </c>
      <c r="E111" s="124">
        <v>1.8</v>
      </c>
      <c r="F111" s="125">
        <v>16.899999999999999</v>
      </c>
      <c r="I111" s="55"/>
      <c r="J111" s="56"/>
    </row>
    <row r="112" spans="2:10" x14ac:dyDescent="0.25">
      <c r="B112" s="64">
        <f t="shared" si="7"/>
        <v>45448.374999999753</v>
      </c>
      <c r="C112" s="65">
        <f t="shared" si="8"/>
        <v>4.3749999999999964</v>
      </c>
      <c r="D112" s="124">
        <v>1.3</v>
      </c>
      <c r="E112" s="124">
        <v>2</v>
      </c>
      <c r="F112" s="125">
        <v>17.2</v>
      </c>
      <c r="I112" s="55"/>
      <c r="J112" s="56"/>
    </row>
    <row r="113" spans="2:10" x14ac:dyDescent="0.25">
      <c r="B113" s="64">
        <f t="shared" si="7"/>
        <v>45448.416666666417</v>
      </c>
      <c r="C113" s="65">
        <f t="shared" si="8"/>
        <v>4.4166666666666634</v>
      </c>
      <c r="D113" s="124">
        <v>1.5</v>
      </c>
      <c r="E113" s="124">
        <v>2.2000000000000002</v>
      </c>
      <c r="F113" s="125">
        <v>17.5</v>
      </c>
      <c r="I113" s="55"/>
      <c r="J113" s="56"/>
    </row>
    <row r="114" spans="2:10" x14ac:dyDescent="0.25">
      <c r="B114" s="64">
        <f t="shared" si="7"/>
        <v>45448.458333333081</v>
      </c>
      <c r="C114" s="65">
        <f t="shared" si="8"/>
        <v>4.4583333333333304</v>
      </c>
      <c r="D114" s="124">
        <v>1.7</v>
      </c>
      <c r="E114" s="124">
        <v>2.5</v>
      </c>
      <c r="F114" s="125">
        <v>17.899999999999999</v>
      </c>
      <c r="I114" s="55"/>
      <c r="J114" s="56"/>
    </row>
    <row r="115" spans="2:10" x14ac:dyDescent="0.25">
      <c r="B115" s="64">
        <f t="shared" si="7"/>
        <v>45448.499999999745</v>
      </c>
      <c r="C115" s="65">
        <f t="shared" si="8"/>
        <v>4.4999999999999973</v>
      </c>
      <c r="D115" s="124">
        <v>1.9</v>
      </c>
      <c r="E115" s="124">
        <v>3</v>
      </c>
      <c r="F115" s="125">
        <v>18.3</v>
      </c>
      <c r="I115" s="55"/>
      <c r="J115" s="56"/>
    </row>
    <row r="116" spans="2:10" x14ac:dyDescent="0.25">
      <c r="B116" s="64">
        <f t="shared" si="7"/>
        <v>45448.54166666641</v>
      </c>
      <c r="C116" s="65">
        <f t="shared" si="8"/>
        <v>4.5416666666666643</v>
      </c>
      <c r="D116" s="124">
        <v>2.1</v>
      </c>
      <c r="E116" s="124">
        <v>3.5</v>
      </c>
      <c r="F116" s="125">
        <v>18.7</v>
      </c>
      <c r="I116" s="55"/>
      <c r="J116" s="56"/>
    </row>
    <row r="117" spans="2:10" x14ac:dyDescent="0.25">
      <c r="B117" s="64">
        <f t="shared" si="7"/>
        <v>45448.583333333074</v>
      </c>
      <c r="C117" s="65">
        <f t="shared" si="8"/>
        <v>4.5833333333333313</v>
      </c>
      <c r="D117" s="124">
        <v>2.2000000000000002</v>
      </c>
      <c r="E117" s="124">
        <v>3.4</v>
      </c>
      <c r="F117" s="125">
        <v>18.3</v>
      </c>
      <c r="I117" s="55"/>
      <c r="J117" s="56"/>
    </row>
    <row r="118" spans="2:10" x14ac:dyDescent="0.25">
      <c r="B118" s="64">
        <f t="shared" si="7"/>
        <v>45448.624999999738</v>
      </c>
      <c r="C118" s="65">
        <f t="shared" si="8"/>
        <v>4.6249999999999982</v>
      </c>
      <c r="D118" s="124">
        <v>2.4</v>
      </c>
      <c r="E118" s="124">
        <v>3.3</v>
      </c>
      <c r="F118" s="125">
        <v>17.899999999999999</v>
      </c>
      <c r="I118" s="55"/>
      <c r="J118" s="56"/>
    </row>
    <row r="119" spans="2:10" x14ac:dyDescent="0.25">
      <c r="B119" s="64">
        <f t="shared" si="7"/>
        <v>45448.666666666402</v>
      </c>
      <c r="C119" s="65">
        <f t="shared" si="8"/>
        <v>4.6666666666666652</v>
      </c>
      <c r="D119" s="124">
        <v>2.5</v>
      </c>
      <c r="E119" s="124">
        <v>3.5</v>
      </c>
      <c r="F119" s="125">
        <v>17.600000000000001</v>
      </c>
      <c r="I119" s="55"/>
      <c r="J119" s="56"/>
    </row>
    <row r="120" spans="2:10" x14ac:dyDescent="0.25">
      <c r="B120" s="64">
        <f t="shared" si="7"/>
        <v>45448.708333333067</v>
      </c>
      <c r="C120" s="65">
        <f t="shared" si="8"/>
        <v>4.7083333333333321</v>
      </c>
      <c r="D120" s="124">
        <v>3</v>
      </c>
      <c r="E120" s="124">
        <v>4</v>
      </c>
      <c r="F120" s="125">
        <v>17.2</v>
      </c>
      <c r="I120" s="55"/>
      <c r="J120" s="56"/>
    </row>
    <row r="121" spans="2:10" x14ac:dyDescent="0.25">
      <c r="B121" s="64">
        <f t="shared" si="7"/>
        <v>45448.749999999731</v>
      </c>
      <c r="C121" s="65">
        <f t="shared" si="8"/>
        <v>4.7499999999999991</v>
      </c>
      <c r="D121" s="124">
        <v>3.4</v>
      </c>
      <c r="E121" s="124">
        <v>4.5</v>
      </c>
      <c r="F121" s="125">
        <v>16.600000000000001</v>
      </c>
      <c r="I121" s="55"/>
      <c r="J121" s="56"/>
    </row>
    <row r="122" spans="2:10" x14ac:dyDescent="0.25">
      <c r="B122" s="64">
        <f t="shared" si="7"/>
        <v>45448.791666666395</v>
      </c>
      <c r="C122" s="65">
        <f t="shared" si="8"/>
        <v>4.7916666666666661</v>
      </c>
      <c r="D122" s="124">
        <v>3.8</v>
      </c>
      <c r="E122" s="124">
        <v>5</v>
      </c>
      <c r="F122" s="125">
        <v>16.2</v>
      </c>
      <c r="I122" s="55"/>
      <c r="J122" s="56"/>
    </row>
    <row r="123" spans="2:10" x14ac:dyDescent="0.25">
      <c r="B123" s="64">
        <f t="shared" si="7"/>
        <v>45448.833333333059</v>
      </c>
      <c r="C123" s="65">
        <f t="shared" si="8"/>
        <v>4.833333333333333</v>
      </c>
      <c r="D123" s="124">
        <v>3.9</v>
      </c>
      <c r="E123" s="124">
        <v>5.2</v>
      </c>
      <c r="F123" s="125">
        <v>16.399999999999999</v>
      </c>
      <c r="I123" s="55"/>
      <c r="J123" s="56"/>
    </row>
    <row r="124" spans="2:10" x14ac:dyDescent="0.25">
      <c r="B124" s="64">
        <f t="shared" si="7"/>
        <v>45448.874999999724</v>
      </c>
      <c r="C124" s="65">
        <f t="shared" si="8"/>
        <v>4.875</v>
      </c>
      <c r="D124" s="124">
        <v>4.0999999999999996</v>
      </c>
      <c r="E124" s="124">
        <v>5.3</v>
      </c>
      <c r="F124" s="125">
        <v>16.600000000000001</v>
      </c>
      <c r="I124" s="55"/>
      <c r="J124" s="56"/>
    </row>
    <row r="125" spans="2:10" x14ac:dyDescent="0.25">
      <c r="B125" s="64">
        <f t="shared" si="7"/>
        <v>45448.916666666388</v>
      </c>
      <c r="C125" s="65">
        <f t="shared" si="8"/>
        <v>4.916666666666667</v>
      </c>
      <c r="D125" s="124">
        <v>4.2</v>
      </c>
      <c r="E125" s="124">
        <v>5.5</v>
      </c>
      <c r="F125" s="125">
        <v>16.8</v>
      </c>
      <c r="I125" s="55"/>
      <c r="J125" s="56"/>
    </row>
    <row r="126" spans="2:10" x14ac:dyDescent="0.25">
      <c r="B126" s="64">
        <f t="shared" si="7"/>
        <v>45448.958333333052</v>
      </c>
      <c r="C126" s="65">
        <f t="shared" si="8"/>
        <v>4.9583333333333339</v>
      </c>
      <c r="D126" s="124">
        <v>4.4000000000000004</v>
      </c>
      <c r="E126" s="124">
        <v>5.7</v>
      </c>
      <c r="F126" s="125">
        <v>17</v>
      </c>
      <c r="I126" s="55"/>
      <c r="J126" s="56"/>
    </row>
    <row r="127" spans="2:10" x14ac:dyDescent="0.25">
      <c r="B127" s="64">
        <f t="shared" si="7"/>
        <v>45448.999999999716</v>
      </c>
      <c r="C127" s="65">
        <f t="shared" si="8"/>
        <v>5.0000000000000009</v>
      </c>
      <c r="D127" s="124">
        <v>4.5</v>
      </c>
      <c r="E127" s="124">
        <v>5.9</v>
      </c>
      <c r="F127" s="125">
        <v>17.100000000000001</v>
      </c>
      <c r="I127" s="55"/>
      <c r="J127" s="56"/>
    </row>
    <row r="128" spans="2:10" x14ac:dyDescent="0.25">
      <c r="B128" s="64">
        <f t="shared" si="7"/>
        <v>45449.04166666638</v>
      </c>
      <c r="C128" s="65">
        <f t="shared" si="8"/>
        <v>5.0416666666666679</v>
      </c>
      <c r="D128" s="124">
        <v>4.7</v>
      </c>
      <c r="E128" s="124">
        <v>6</v>
      </c>
      <c r="F128" s="125">
        <v>17.3</v>
      </c>
      <c r="I128" s="55"/>
      <c r="J128" s="56"/>
    </row>
    <row r="129" spans="2:10" x14ac:dyDescent="0.25">
      <c r="B129" s="64">
        <f t="shared" si="7"/>
        <v>45449.083333333045</v>
      </c>
      <c r="C129" s="65">
        <f t="shared" si="8"/>
        <v>5.0833333333333348</v>
      </c>
      <c r="D129" s="124">
        <v>4.0999999999999996</v>
      </c>
      <c r="E129" s="124">
        <v>5.4</v>
      </c>
      <c r="F129" s="125">
        <v>17.2</v>
      </c>
      <c r="I129" s="55"/>
      <c r="J129" s="56"/>
    </row>
    <row r="130" spans="2:10" x14ac:dyDescent="0.25">
      <c r="B130" s="64">
        <f t="shared" si="7"/>
        <v>45449.124999999709</v>
      </c>
      <c r="C130" s="65">
        <f t="shared" si="8"/>
        <v>5.1250000000000018</v>
      </c>
      <c r="D130" s="124">
        <v>3.6</v>
      </c>
      <c r="E130" s="124">
        <v>4.7</v>
      </c>
      <c r="F130" s="125">
        <v>17.100000000000001</v>
      </c>
      <c r="I130" s="55"/>
      <c r="J130" s="56"/>
    </row>
    <row r="131" spans="2:10" x14ac:dyDescent="0.25">
      <c r="B131" s="64">
        <f t="shared" si="7"/>
        <v>45449.166666666373</v>
      </c>
      <c r="C131" s="65">
        <f t="shared" si="8"/>
        <v>5.1666666666666687</v>
      </c>
      <c r="D131" s="124">
        <v>3</v>
      </c>
      <c r="E131" s="124">
        <v>4</v>
      </c>
      <c r="F131" s="125">
        <v>17</v>
      </c>
      <c r="I131" s="55"/>
      <c r="J131" s="56"/>
    </row>
    <row r="132" spans="2:10" x14ac:dyDescent="0.25">
      <c r="B132" s="64">
        <f t="shared" si="7"/>
        <v>45449.208333333037</v>
      </c>
      <c r="C132" s="65">
        <f t="shared" si="8"/>
        <v>5.2083333333333357</v>
      </c>
      <c r="D132" s="124">
        <v>2.4</v>
      </c>
      <c r="E132" s="124">
        <v>3.3</v>
      </c>
      <c r="F132" s="125">
        <v>16.899999999999999</v>
      </c>
      <c r="I132" s="55"/>
      <c r="J132" s="56"/>
    </row>
    <row r="133" spans="2:10" x14ac:dyDescent="0.25">
      <c r="B133" s="64">
        <f t="shared" si="7"/>
        <v>45449.249999999702</v>
      </c>
      <c r="C133" s="65">
        <f t="shared" si="8"/>
        <v>5.2500000000000027</v>
      </c>
      <c r="D133" s="124">
        <v>1.9</v>
      </c>
      <c r="E133" s="124">
        <v>2.7</v>
      </c>
      <c r="F133" s="125">
        <v>17</v>
      </c>
      <c r="I133" s="55"/>
      <c r="J133" s="56"/>
    </row>
    <row r="134" spans="2:10" x14ac:dyDescent="0.25">
      <c r="B134" s="64">
        <f t="shared" si="7"/>
        <v>45449.291666666366</v>
      </c>
      <c r="C134" s="65">
        <f t="shared" si="8"/>
        <v>5.2916666666666696</v>
      </c>
      <c r="D134" s="124">
        <v>1.3</v>
      </c>
      <c r="E134" s="124">
        <v>2</v>
      </c>
      <c r="F134" s="125">
        <v>17.2</v>
      </c>
      <c r="I134" s="55"/>
      <c r="J134" s="56"/>
    </row>
    <row r="135" spans="2:10" x14ac:dyDescent="0.25">
      <c r="B135" s="64">
        <f t="shared" si="7"/>
        <v>45449.33333333303</v>
      </c>
      <c r="C135" s="65">
        <f t="shared" si="8"/>
        <v>5.3333333333333366</v>
      </c>
      <c r="D135" s="124">
        <v>1.6</v>
      </c>
      <c r="E135" s="124">
        <v>2.2999999999999998</v>
      </c>
      <c r="F135" s="125">
        <v>17.399999999999999</v>
      </c>
      <c r="I135" s="55"/>
      <c r="J135" s="56"/>
    </row>
    <row r="136" spans="2:10" x14ac:dyDescent="0.25">
      <c r="B136" s="64">
        <f t="shared" si="7"/>
        <v>45449.374999999694</v>
      </c>
      <c r="C136" s="65">
        <f t="shared" si="8"/>
        <v>5.3750000000000036</v>
      </c>
      <c r="D136" s="124">
        <v>1.8</v>
      </c>
      <c r="E136" s="124">
        <v>2.6</v>
      </c>
      <c r="F136" s="125">
        <v>17.600000000000001</v>
      </c>
      <c r="I136" s="55"/>
      <c r="J136" s="56"/>
    </row>
    <row r="137" spans="2:10" x14ac:dyDescent="0.25">
      <c r="B137" s="64">
        <f t="shared" si="7"/>
        <v>45449.416666666359</v>
      </c>
      <c r="C137" s="65">
        <f t="shared" si="8"/>
        <v>5.4166666666666705</v>
      </c>
      <c r="D137" s="124">
        <v>2.1</v>
      </c>
      <c r="E137" s="124">
        <v>2.9</v>
      </c>
      <c r="F137" s="125">
        <v>17.8</v>
      </c>
    </row>
    <row r="138" spans="2:10" x14ac:dyDescent="0.25">
      <c r="B138" s="64">
        <f t="shared" si="7"/>
        <v>45449.458333333023</v>
      </c>
      <c r="C138" s="65">
        <f t="shared" si="8"/>
        <v>5.4583333333333375</v>
      </c>
      <c r="D138" s="124">
        <v>2.2999999999999998</v>
      </c>
      <c r="E138" s="124">
        <v>3.2</v>
      </c>
      <c r="F138" s="125">
        <v>18</v>
      </c>
    </row>
    <row r="139" spans="2:10" x14ac:dyDescent="0.25">
      <c r="B139" s="64">
        <f t="shared" ref="B139:B202" si="9">B138+TIME(1,0,0)</f>
        <v>45449.499999999687</v>
      </c>
      <c r="C139" s="65">
        <f t="shared" ref="C139:C202" si="10">C138+TIME(1,0,0)</f>
        <v>5.5000000000000044</v>
      </c>
      <c r="D139" s="124">
        <v>2.6</v>
      </c>
      <c r="E139" s="124">
        <v>3.5</v>
      </c>
      <c r="F139" s="125">
        <v>18.2</v>
      </c>
    </row>
    <row r="140" spans="2:10" x14ac:dyDescent="0.25">
      <c r="B140" s="64">
        <f t="shared" si="9"/>
        <v>45449.541666666351</v>
      </c>
      <c r="C140" s="65">
        <f t="shared" si="10"/>
        <v>5.5416666666666714</v>
      </c>
      <c r="D140" s="124">
        <v>2.8</v>
      </c>
      <c r="E140" s="124">
        <v>3.8</v>
      </c>
      <c r="F140" s="125">
        <v>18.399999999999999</v>
      </c>
    </row>
    <row r="141" spans="2:10" x14ac:dyDescent="0.25">
      <c r="B141" s="64">
        <f t="shared" si="9"/>
        <v>45449.583333333016</v>
      </c>
      <c r="C141" s="65">
        <f t="shared" si="10"/>
        <v>5.5833333333333384</v>
      </c>
      <c r="D141" s="124">
        <v>3.4</v>
      </c>
      <c r="E141" s="124">
        <v>4.4000000000000004</v>
      </c>
      <c r="F141" s="125">
        <v>18.3</v>
      </c>
    </row>
    <row r="142" spans="2:10" x14ac:dyDescent="0.25">
      <c r="B142" s="64">
        <f t="shared" si="9"/>
        <v>45449.62499999968</v>
      </c>
      <c r="C142" s="65">
        <f t="shared" si="10"/>
        <v>5.6250000000000053</v>
      </c>
      <c r="D142" s="124">
        <v>3.9</v>
      </c>
      <c r="E142" s="124">
        <v>5.0999999999999996</v>
      </c>
      <c r="F142" s="125">
        <v>18.3</v>
      </c>
    </row>
    <row r="143" spans="2:10" x14ac:dyDescent="0.25">
      <c r="B143" s="64">
        <f t="shared" si="9"/>
        <v>45449.666666666344</v>
      </c>
      <c r="C143" s="65">
        <f t="shared" si="10"/>
        <v>5.6666666666666723</v>
      </c>
      <c r="D143" s="124">
        <v>4.4000000000000004</v>
      </c>
      <c r="E143" s="124">
        <v>5.7</v>
      </c>
      <c r="F143" s="125">
        <v>18.2</v>
      </c>
    </row>
    <row r="144" spans="2:10" x14ac:dyDescent="0.25">
      <c r="B144" s="64">
        <f t="shared" si="9"/>
        <v>45449.708333333008</v>
      </c>
      <c r="C144" s="65">
        <f t="shared" si="10"/>
        <v>5.7083333333333393</v>
      </c>
      <c r="D144" s="124">
        <v>4.9000000000000004</v>
      </c>
      <c r="E144" s="124">
        <v>6.3</v>
      </c>
      <c r="F144" s="125">
        <v>18.2</v>
      </c>
    </row>
    <row r="145" spans="2:6" x14ac:dyDescent="0.25">
      <c r="B145" s="64">
        <f t="shared" si="9"/>
        <v>45449.749999999673</v>
      </c>
      <c r="C145" s="65">
        <f t="shared" si="10"/>
        <v>5.7500000000000062</v>
      </c>
      <c r="D145" s="124">
        <v>5.4</v>
      </c>
      <c r="E145" s="124">
        <v>6.9</v>
      </c>
      <c r="F145" s="125">
        <v>17.8</v>
      </c>
    </row>
    <row r="146" spans="2:6" x14ac:dyDescent="0.25">
      <c r="B146" s="64">
        <f t="shared" si="9"/>
        <v>45449.791666666337</v>
      </c>
      <c r="C146" s="65">
        <f t="shared" si="10"/>
        <v>5.7916666666666732</v>
      </c>
      <c r="D146" s="124">
        <v>6</v>
      </c>
      <c r="E146" s="124">
        <v>7.6</v>
      </c>
      <c r="F146" s="125">
        <v>17.600000000000001</v>
      </c>
    </row>
    <row r="147" spans="2:6" x14ac:dyDescent="0.25">
      <c r="B147" s="64">
        <f t="shared" si="9"/>
        <v>45449.833333333001</v>
      </c>
      <c r="C147" s="65">
        <f t="shared" si="10"/>
        <v>5.8333333333333401</v>
      </c>
      <c r="D147" s="124">
        <v>5.9</v>
      </c>
      <c r="E147" s="124">
        <v>7.4</v>
      </c>
      <c r="F147" s="125">
        <v>17.600000000000001</v>
      </c>
    </row>
    <row r="148" spans="2:6" x14ac:dyDescent="0.25">
      <c r="B148" s="64">
        <f t="shared" si="9"/>
        <v>45449.874999999665</v>
      </c>
      <c r="C148" s="65">
        <f t="shared" si="10"/>
        <v>5.8750000000000071</v>
      </c>
      <c r="D148" s="124">
        <v>5.8</v>
      </c>
      <c r="E148" s="124">
        <v>7.3</v>
      </c>
      <c r="F148" s="125">
        <v>17.5</v>
      </c>
    </row>
    <row r="149" spans="2:6" x14ac:dyDescent="0.25">
      <c r="B149" s="64">
        <f t="shared" si="9"/>
        <v>45449.91666666633</v>
      </c>
      <c r="C149" s="65">
        <f t="shared" si="10"/>
        <v>5.9166666666666741</v>
      </c>
      <c r="D149" s="124">
        <v>5.7</v>
      </c>
      <c r="E149" s="124">
        <v>7.2</v>
      </c>
      <c r="F149" s="125">
        <v>17.5</v>
      </c>
    </row>
    <row r="150" spans="2:6" x14ac:dyDescent="0.25">
      <c r="B150" s="64">
        <f t="shared" si="9"/>
        <v>45449.958333332994</v>
      </c>
      <c r="C150" s="65">
        <f t="shared" si="10"/>
        <v>5.958333333333341</v>
      </c>
      <c r="D150" s="124">
        <v>5.6</v>
      </c>
      <c r="E150" s="124">
        <v>7.1</v>
      </c>
      <c r="F150" s="125">
        <v>17.399999999999999</v>
      </c>
    </row>
    <row r="151" spans="2:6" x14ac:dyDescent="0.25">
      <c r="B151" s="64">
        <f t="shared" si="9"/>
        <v>45449.999999999658</v>
      </c>
      <c r="C151" s="65">
        <f t="shared" si="10"/>
        <v>6.000000000000008</v>
      </c>
      <c r="D151" s="124">
        <v>5.4</v>
      </c>
      <c r="E151" s="124">
        <v>7</v>
      </c>
      <c r="F151" s="125">
        <v>17.399999999999999</v>
      </c>
    </row>
    <row r="152" spans="2:6" x14ac:dyDescent="0.25">
      <c r="B152" s="64">
        <f t="shared" si="9"/>
        <v>45450.041666666322</v>
      </c>
      <c r="C152" s="65">
        <f t="shared" si="10"/>
        <v>6.041666666666675</v>
      </c>
      <c r="D152" s="124">
        <v>5.3</v>
      </c>
      <c r="E152" s="124">
        <v>6.8</v>
      </c>
      <c r="F152" s="125">
        <v>17.3</v>
      </c>
    </row>
    <row r="153" spans="2:6" x14ac:dyDescent="0.25">
      <c r="B153" s="64">
        <f t="shared" si="9"/>
        <v>45450.083333332987</v>
      </c>
      <c r="C153" s="65">
        <f t="shared" si="10"/>
        <v>6.0833333333333419</v>
      </c>
      <c r="D153" s="124">
        <v>4.7</v>
      </c>
      <c r="E153" s="124">
        <v>6.1</v>
      </c>
      <c r="F153" s="125">
        <v>17.3</v>
      </c>
    </row>
    <row r="154" spans="2:6" x14ac:dyDescent="0.25">
      <c r="B154" s="64">
        <f t="shared" si="9"/>
        <v>45450.124999999651</v>
      </c>
      <c r="C154" s="65">
        <f t="shared" si="10"/>
        <v>6.1250000000000089</v>
      </c>
      <c r="D154" s="124">
        <v>4.0999999999999996</v>
      </c>
      <c r="E154" s="124">
        <v>5.3</v>
      </c>
      <c r="F154" s="125">
        <v>17.3</v>
      </c>
    </row>
    <row r="155" spans="2:6" x14ac:dyDescent="0.25">
      <c r="B155" s="64">
        <f t="shared" si="9"/>
        <v>45450.166666666315</v>
      </c>
      <c r="C155" s="65">
        <f t="shared" si="10"/>
        <v>6.1666666666666758</v>
      </c>
      <c r="D155" s="124">
        <v>3.5</v>
      </c>
      <c r="E155" s="124">
        <v>4.5999999999999996</v>
      </c>
      <c r="F155" s="125">
        <v>17.2</v>
      </c>
    </row>
    <row r="156" spans="2:6" x14ac:dyDescent="0.25">
      <c r="B156" s="64">
        <f t="shared" si="9"/>
        <v>45450.208333332979</v>
      </c>
      <c r="C156" s="65">
        <f t="shared" si="10"/>
        <v>6.2083333333333428</v>
      </c>
      <c r="D156" s="124">
        <v>2.8</v>
      </c>
      <c r="E156" s="124">
        <v>3.8</v>
      </c>
      <c r="F156" s="125">
        <v>17.2</v>
      </c>
    </row>
    <row r="157" spans="2:6" x14ac:dyDescent="0.25">
      <c r="B157" s="64">
        <f t="shared" si="9"/>
        <v>45450.249999999643</v>
      </c>
      <c r="C157" s="65">
        <f t="shared" si="10"/>
        <v>6.2500000000000098</v>
      </c>
      <c r="D157" s="124">
        <v>2.2000000000000002</v>
      </c>
      <c r="E157" s="124">
        <v>3.1</v>
      </c>
      <c r="F157" s="125">
        <v>17.399999999999999</v>
      </c>
    </row>
    <row r="158" spans="2:6" x14ac:dyDescent="0.25">
      <c r="B158" s="64">
        <f t="shared" si="9"/>
        <v>45450.291666666308</v>
      </c>
      <c r="C158" s="65">
        <f t="shared" si="10"/>
        <v>6.2916666666666767</v>
      </c>
      <c r="D158" s="124">
        <v>1.6</v>
      </c>
      <c r="E158" s="124">
        <v>2.2999999999999998</v>
      </c>
      <c r="F158" s="125">
        <v>17.8</v>
      </c>
    </row>
    <row r="159" spans="2:6" x14ac:dyDescent="0.25">
      <c r="B159" s="64">
        <f t="shared" si="9"/>
        <v>45450.333333332972</v>
      </c>
      <c r="C159" s="65">
        <f t="shared" si="10"/>
        <v>6.3333333333333437</v>
      </c>
      <c r="D159" s="124">
        <v>1.9</v>
      </c>
      <c r="E159" s="124">
        <v>2.7</v>
      </c>
      <c r="F159" s="125">
        <v>18</v>
      </c>
    </row>
    <row r="160" spans="2:6" x14ac:dyDescent="0.25">
      <c r="B160" s="64">
        <f t="shared" si="9"/>
        <v>45450.374999999636</v>
      </c>
      <c r="C160" s="65">
        <f t="shared" si="10"/>
        <v>6.3750000000000107</v>
      </c>
      <c r="D160" s="124">
        <v>2.2000000000000002</v>
      </c>
      <c r="E160" s="124">
        <v>3</v>
      </c>
      <c r="F160" s="125">
        <v>18.3</v>
      </c>
    </row>
    <row r="161" spans="2:6" x14ac:dyDescent="0.25">
      <c r="B161" s="64">
        <f t="shared" si="9"/>
        <v>45450.4166666663</v>
      </c>
      <c r="C161" s="65">
        <f t="shared" si="10"/>
        <v>6.4166666666666776</v>
      </c>
      <c r="D161" s="124">
        <v>2.5</v>
      </c>
      <c r="E161" s="124">
        <v>3.4</v>
      </c>
      <c r="F161" s="125">
        <v>18.5</v>
      </c>
    </row>
    <row r="162" spans="2:6" x14ac:dyDescent="0.25">
      <c r="B162" s="64">
        <f t="shared" si="9"/>
        <v>45450.458333332965</v>
      </c>
      <c r="C162" s="65">
        <f t="shared" si="10"/>
        <v>6.4583333333333446</v>
      </c>
      <c r="D162" s="124">
        <v>2.8</v>
      </c>
      <c r="E162" s="124">
        <v>3.7</v>
      </c>
      <c r="F162" s="125">
        <v>18.8</v>
      </c>
    </row>
    <row r="163" spans="2:6" x14ac:dyDescent="0.25">
      <c r="B163" s="64">
        <f t="shared" si="9"/>
        <v>45450.499999999629</v>
      </c>
      <c r="C163" s="65">
        <f t="shared" si="10"/>
        <v>6.5000000000000115</v>
      </c>
      <c r="D163" s="124">
        <v>3.1</v>
      </c>
      <c r="E163" s="124">
        <v>4.0999999999999996</v>
      </c>
      <c r="F163" s="125">
        <v>18.899999999999999</v>
      </c>
    </row>
    <row r="164" spans="2:6" x14ac:dyDescent="0.25">
      <c r="B164" s="64">
        <f t="shared" si="9"/>
        <v>45450.541666666293</v>
      </c>
      <c r="C164" s="65">
        <f t="shared" si="10"/>
        <v>6.5416666666666785</v>
      </c>
      <c r="D164" s="124">
        <v>3.4</v>
      </c>
      <c r="E164" s="124">
        <v>4.5</v>
      </c>
      <c r="F164" s="125">
        <v>19.100000000000001</v>
      </c>
    </row>
    <row r="165" spans="2:6" x14ac:dyDescent="0.25">
      <c r="B165" s="64">
        <f t="shared" si="9"/>
        <v>45450.583333332957</v>
      </c>
      <c r="C165" s="65">
        <f t="shared" si="10"/>
        <v>6.5833333333333455</v>
      </c>
      <c r="D165" s="124">
        <v>3.9</v>
      </c>
      <c r="E165" s="124">
        <v>5.0999999999999996</v>
      </c>
      <c r="F165" s="125">
        <v>18.899999999999999</v>
      </c>
    </row>
    <row r="166" spans="2:6" x14ac:dyDescent="0.25">
      <c r="B166" s="64">
        <f t="shared" si="9"/>
        <v>45450.624999999622</v>
      </c>
      <c r="C166" s="65">
        <f t="shared" si="10"/>
        <v>6.6250000000000124</v>
      </c>
      <c r="D166" s="124">
        <v>4.4000000000000004</v>
      </c>
      <c r="E166" s="124">
        <v>5.7</v>
      </c>
      <c r="F166" s="125">
        <v>18.7</v>
      </c>
    </row>
    <row r="167" spans="2:6" x14ac:dyDescent="0.25">
      <c r="B167" s="64">
        <f t="shared" si="9"/>
        <v>45450.666666666286</v>
      </c>
      <c r="C167" s="65">
        <f t="shared" si="10"/>
        <v>6.6666666666666794</v>
      </c>
      <c r="D167" s="124">
        <v>4.9000000000000004</v>
      </c>
      <c r="E167" s="124">
        <v>6.3</v>
      </c>
      <c r="F167" s="125">
        <v>18.5</v>
      </c>
    </row>
    <row r="168" spans="2:6" x14ac:dyDescent="0.25">
      <c r="B168" s="64">
        <f t="shared" si="9"/>
        <v>45450.70833333295</v>
      </c>
      <c r="C168" s="65">
        <f t="shared" si="10"/>
        <v>6.7083333333333464</v>
      </c>
      <c r="D168" s="124">
        <v>5.4</v>
      </c>
      <c r="E168" s="124">
        <v>6.9</v>
      </c>
      <c r="F168" s="125">
        <v>18.3</v>
      </c>
    </row>
    <row r="169" spans="2:6" x14ac:dyDescent="0.25">
      <c r="B169" s="64">
        <f t="shared" si="9"/>
        <v>45450.749999999614</v>
      </c>
      <c r="C169" s="65">
        <f t="shared" si="10"/>
        <v>6.7500000000000133</v>
      </c>
      <c r="D169" s="124">
        <v>5.9</v>
      </c>
      <c r="E169" s="124">
        <v>7.6</v>
      </c>
      <c r="F169" s="125">
        <v>17.8</v>
      </c>
    </row>
    <row r="170" spans="2:6" x14ac:dyDescent="0.25">
      <c r="B170" s="64">
        <f t="shared" si="9"/>
        <v>45450.791666666279</v>
      </c>
      <c r="C170" s="65">
        <f t="shared" si="10"/>
        <v>6.7916666666666803</v>
      </c>
      <c r="D170" s="124">
        <v>6.5</v>
      </c>
      <c r="E170" s="124">
        <v>8.1999999999999993</v>
      </c>
      <c r="F170" s="125">
        <v>17.399999999999999</v>
      </c>
    </row>
    <row r="171" spans="2:6" x14ac:dyDescent="0.25">
      <c r="B171" s="64">
        <f t="shared" si="9"/>
        <v>45450.833333332943</v>
      </c>
      <c r="C171" s="65">
        <f t="shared" si="10"/>
        <v>6.8333333333333472</v>
      </c>
      <c r="D171" s="124">
        <v>6.3</v>
      </c>
      <c r="E171" s="124">
        <v>8</v>
      </c>
      <c r="F171" s="125">
        <v>17.3</v>
      </c>
    </row>
    <row r="172" spans="2:6" x14ac:dyDescent="0.25">
      <c r="B172" s="64">
        <f t="shared" si="9"/>
        <v>45450.874999999607</v>
      </c>
      <c r="C172" s="65">
        <f t="shared" si="10"/>
        <v>6.8750000000000142</v>
      </c>
      <c r="D172" s="124">
        <v>6.2</v>
      </c>
      <c r="E172" s="124">
        <v>7.9</v>
      </c>
      <c r="F172" s="125">
        <v>17.100000000000001</v>
      </c>
    </row>
    <row r="173" spans="2:6" x14ac:dyDescent="0.25">
      <c r="B173" s="64">
        <f t="shared" si="9"/>
        <v>45450.916666666271</v>
      </c>
      <c r="C173" s="65">
        <f t="shared" si="10"/>
        <v>6.9166666666666812</v>
      </c>
      <c r="D173" s="124">
        <v>6.1</v>
      </c>
      <c r="E173" s="124">
        <v>7.7</v>
      </c>
      <c r="F173" s="125">
        <v>16.899999999999999</v>
      </c>
    </row>
    <row r="174" spans="2:6" x14ac:dyDescent="0.25">
      <c r="B174" s="64">
        <f t="shared" si="9"/>
        <v>45450.958333332936</v>
      </c>
      <c r="C174" s="65">
        <f t="shared" si="10"/>
        <v>6.9583333333333481</v>
      </c>
      <c r="D174" s="124">
        <v>6</v>
      </c>
      <c r="E174" s="124">
        <v>7.6</v>
      </c>
      <c r="F174" s="125">
        <v>16.8</v>
      </c>
    </row>
    <row r="175" spans="2:6" x14ac:dyDescent="0.25">
      <c r="B175" s="64">
        <f t="shared" si="9"/>
        <v>45450.9999999996</v>
      </c>
      <c r="C175" s="65">
        <f t="shared" si="10"/>
        <v>7.0000000000000151</v>
      </c>
      <c r="D175" s="124">
        <v>5.8</v>
      </c>
      <c r="E175" s="124">
        <v>7.4</v>
      </c>
      <c r="F175" s="125">
        <v>16.600000000000001</v>
      </c>
    </row>
    <row r="176" spans="2:6" x14ac:dyDescent="0.25">
      <c r="B176" s="64">
        <f t="shared" si="9"/>
        <v>45451.041666666264</v>
      </c>
      <c r="C176" s="65">
        <f t="shared" si="10"/>
        <v>7.0416666666666821</v>
      </c>
      <c r="D176" s="124">
        <v>5.7</v>
      </c>
      <c r="E176" s="124">
        <v>7.3</v>
      </c>
      <c r="F176" s="125">
        <v>16.5</v>
      </c>
    </row>
    <row r="177" spans="2:6" x14ac:dyDescent="0.25">
      <c r="B177" s="64">
        <f t="shared" si="9"/>
        <v>45451.083333332928</v>
      </c>
      <c r="C177" s="65">
        <f t="shared" si="10"/>
        <v>7.083333333333349</v>
      </c>
      <c r="D177" s="124">
        <v>5.0999999999999996</v>
      </c>
      <c r="E177" s="124">
        <v>6.5</v>
      </c>
      <c r="F177" s="125">
        <v>16.399999999999999</v>
      </c>
    </row>
    <row r="178" spans="2:6" x14ac:dyDescent="0.25">
      <c r="B178" s="64">
        <f t="shared" si="9"/>
        <v>45451.124999999593</v>
      </c>
      <c r="C178" s="65">
        <f t="shared" si="10"/>
        <v>7.125000000000016</v>
      </c>
      <c r="D178" s="124">
        <v>4.4000000000000004</v>
      </c>
      <c r="E178" s="124">
        <v>5.7</v>
      </c>
      <c r="F178" s="125">
        <v>16.399999999999999</v>
      </c>
    </row>
    <row r="179" spans="2:6" x14ac:dyDescent="0.25">
      <c r="B179" s="64">
        <f t="shared" si="9"/>
        <v>45451.166666666257</v>
      </c>
      <c r="C179" s="65">
        <f t="shared" si="10"/>
        <v>7.1666666666666829</v>
      </c>
      <c r="D179" s="124">
        <v>3.8</v>
      </c>
      <c r="E179" s="124">
        <v>5</v>
      </c>
      <c r="F179" s="125">
        <v>16.399999999999999</v>
      </c>
    </row>
    <row r="180" spans="2:6" x14ac:dyDescent="0.25">
      <c r="B180" s="64">
        <f t="shared" si="9"/>
        <v>45451.208333332921</v>
      </c>
      <c r="C180" s="65">
        <f t="shared" si="10"/>
        <v>7.2083333333333499</v>
      </c>
      <c r="D180" s="124">
        <v>3.1</v>
      </c>
      <c r="E180" s="124">
        <v>4.2</v>
      </c>
      <c r="F180" s="125">
        <v>16.3</v>
      </c>
    </row>
    <row r="181" spans="2:6" x14ac:dyDescent="0.25">
      <c r="B181" s="64">
        <f t="shared" si="9"/>
        <v>45451.249999999585</v>
      </c>
      <c r="C181" s="65">
        <f t="shared" si="10"/>
        <v>7.2500000000000169</v>
      </c>
      <c r="D181" s="124">
        <v>2.5</v>
      </c>
      <c r="E181" s="124">
        <v>3.4</v>
      </c>
      <c r="F181" s="125">
        <v>16.5</v>
      </c>
    </row>
    <row r="182" spans="2:6" x14ac:dyDescent="0.25">
      <c r="B182" s="64">
        <f t="shared" si="9"/>
        <v>45451.29166666625</v>
      </c>
      <c r="C182" s="65">
        <f t="shared" si="10"/>
        <v>7.2916666666666838</v>
      </c>
      <c r="D182" s="124">
        <v>1.9</v>
      </c>
      <c r="E182" s="124">
        <v>2.6</v>
      </c>
      <c r="F182" s="125">
        <v>16.899999999999999</v>
      </c>
    </row>
    <row r="183" spans="2:6" x14ac:dyDescent="0.25">
      <c r="B183" s="64">
        <f t="shared" si="9"/>
        <v>45451.333333332914</v>
      </c>
      <c r="C183" s="65">
        <f t="shared" si="10"/>
        <v>7.3333333333333508</v>
      </c>
      <c r="D183" s="124">
        <v>2.4</v>
      </c>
      <c r="E183" s="124">
        <v>3.3</v>
      </c>
      <c r="F183" s="125">
        <v>17.100000000000001</v>
      </c>
    </row>
    <row r="184" spans="2:6" x14ac:dyDescent="0.25">
      <c r="B184" s="64">
        <f t="shared" si="9"/>
        <v>45451.374999999578</v>
      </c>
      <c r="C184" s="65">
        <f t="shared" si="10"/>
        <v>7.3750000000000178</v>
      </c>
      <c r="D184" s="124">
        <v>2.9</v>
      </c>
      <c r="E184" s="124">
        <v>3.9</v>
      </c>
      <c r="F184" s="125">
        <v>17.3</v>
      </c>
    </row>
    <row r="185" spans="2:6" x14ac:dyDescent="0.25">
      <c r="B185" s="64">
        <f t="shared" si="9"/>
        <v>45451.416666666242</v>
      </c>
      <c r="C185" s="65">
        <f t="shared" si="10"/>
        <v>7.4166666666666847</v>
      </c>
      <c r="D185" s="124">
        <v>3.4</v>
      </c>
      <c r="E185" s="124">
        <v>4.5</v>
      </c>
      <c r="F185" s="125">
        <v>17.5</v>
      </c>
    </row>
    <row r="186" spans="2:6" x14ac:dyDescent="0.25">
      <c r="B186" s="64">
        <f t="shared" si="9"/>
        <v>45451.458333332906</v>
      </c>
      <c r="C186" s="65">
        <f t="shared" si="10"/>
        <v>7.4583333333333517</v>
      </c>
      <c r="D186" s="124">
        <v>3.9</v>
      </c>
      <c r="E186" s="124">
        <v>5.0999999999999996</v>
      </c>
      <c r="F186" s="125">
        <v>17.600000000000001</v>
      </c>
    </row>
    <row r="187" spans="2:6" x14ac:dyDescent="0.25">
      <c r="B187" s="64">
        <f t="shared" si="9"/>
        <v>45451.499999999571</v>
      </c>
      <c r="C187" s="65">
        <f t="shared" si="10"/>
        <v>7.5000000000000187</v>
      </c>
      <c r="D187" s="124">
        <v>4.4000000000000004</v>
      </c>
      <c r="E187" s="124">
        <v>5.7</v>
      </c>
      <c r="F187" s="125">
        <v>17.7</v>
      </c>
    </row>
    <row r="188" spans="2:6" x14ac:dyDescent="0.25">
      <c r="B188" s="64">
        <f t="shared" si="9"/>
        <v>45451.541666666235</v>
      </c>
      <c r="C188" s="65">
        <f t="shared" si="10"/>
        <v>7.5416666666666856</v>
      </c>
      <c r="D188" s="124">
        <v>4.9000000000000004</v>
      </c>
      <c r="E188" s="124">
        <v>6.3</v>
      </c>
      <c r="F188" s="125">
        <v>17.8</v>
      </c>
    </row>
    <row r="189" spans="2:6" x14ac:dyDescent="0.25">
      <c r="B189" s="64">
        <f t="shared" si="9"/>
        <v>45451.583333332899</v>
      </c>
      <c r="C189" s="65">
        <f t="shared" si="10"/>
        <v>7.5833333333333526</v>
      </c>
      <c r="D189" s="124">
        <v>5.7</v>
      </c>
      <c r="E189" s="124">
        <v>7.2</v>
      </c>
      <c r="F189" s="125">
        <v>17.600000000000001</v>
      </c>
    </row>
    <row r="190" spans="2:6" x14ac:dyDescent="0.25">
      <c r="B190" s="64">
        <f t="shared" si="9"/>
        <v>45451.624999999563</v>
      </c>
      <c r="C190" s="65">
        <f t="shared" si="10"/>
        <v>7.6250000000000195</v>
      </c>
      <c r="D190" s="124">
        <v>6.4</v>
      </c>
      <c r="E190" s="124">
        <v>8.1</v>
      </c>
      <c r="F190" s="125">
        <v>17.3</v>
      </c>
    </row>
    <row r="191" spans="2:6" x14ac:dyDescent="0.25">
      <c r="B191" s="64">
        <f t="shared" si="9"/>
        <v>45451.666666666228</v>
      </c>
      <c r="C191" s="65">
        <f t="shared" si="10"/>
        <v>7.6666666666666865</v>
      </c>
      <c r="D191" s="124">
        <v>7.1</v>
      </c>
      <c r="E191" s="124">
        <v>9</v>
      </c>
      <c r="F191" s="125">
        <v>17</v>
      </c>
    </row>
    <row r="192" spans="2:6" x14ac:dyDescent="0.25">
      <c r="B192" s="64">
        <f t="shared" si="9"/>
        <v>45451.708333332892</v>
      </c>
      <c r="C192" s="65">
        <f t="shared" si="10"/>
        <v>7.7083333333333535</v>
      </c>
      <c r="D192" s="124">
        <v>7.9</v>
      </c>
      <c r="E192" s="124">
        <v>9.9</v>
      </c>
      <c r="F192" s="125">
        <v>16.7</v>
      </c>
    </row>
    <row r="193" spans="2:6" x14ac:dyDescent="0.25">
      <c r="B193" s="64">
        <f t="shared" si="9"/>
        <v>45451.749999999556</v>
      </c>
      <c r="C193" s="65">
        <f t="shared" si="10"/>
        <v>7.7500000000000204</v>
      </c>
      <c r="D193" s="124">
        <v>8.6</v>
      </c>
      <c r="E193" s="124">
        <v>10.7</v>
      </c>
      <c r="F193" s="125">
        <v>16.2</v>
      </c>
    </row>
    <row r="194" spans="2:6" x14ac:dyDescent="0.25">
      <c r="B194" s="64">
        <f t="shared" si="9"/>
        <v>45451.79166666622</v>
      </c>
      <c r="C194" s="65">
        <f t="shared" si="10"/>
        <v>7.7916666666666874</v>
      </c>
      <c r="D194" s="124">
        <v>9.3000000000000007</v>
      </c>
      <c r="E194" s="124">
        <v>11.6</v>
      </c>
      <c r="F194" s="125">
        <v>15.8</v>
      </c>
    </row>
    <row r="195" spans="2:6" x14ac:dyDescent="0.25">
      <c r="B195" s="64">
        <f t="shared" si="9"/>
        <v>45451.833333332885</v>
      </c>
      <c r="C195" s="65">
        <f t="shared" si="10"/>
        <v>7.8333333333333544</v>
      </c>
      <c r="D195" s="124">
        <v>9.5</v>
      </c>
      <c r="E195" s="124">
        <v>11.9</v>
      </c>
      <c r="F195" s="125">
        <v>15.6</v>
      </c>
    </row>
    <row r="196" spans="2:6" x14ac:dyDescent="0.25">
      <c r="B196" s="64">
        <f t="shared" si="9"/>
        <v>45451.874999999549</v>
      </c>
      <c r="C196" s="65">
        <f t="shared" si="10"/>
        <v>7.8750000000000213</v>
      </c>
      <c r="D196" s="124">
        <v>9.8000000000000007</v>
      </c>
      <c r="E196" s="124">
        <v>12.1</v>
      </c>
      <c r="F196" s="125">
        <v>15.4</v>
      </c>
    </row>
    <row r="197" spans="2:6" x14ac:dyDescent="0.25">
      <c r="B197" s="64">
        <f t="shared" si="9"/>
        <v>45451.916666666213</v>
      </c>
      <c r="C197" s="65">
        <f t="shared" si="10"/>
        <v>7.9166666666666883</v>
      </c>
      <c r="D197" s="124">
        <v>10</v>
      </c>
      <c r="E197" s="124">
        <v>12.4</v>
      </c>
      <c r="F197" s="125">
        <v>15.2</v>
      </c>
    </row>
    <row r="198" spans="2:6" x14ac:dyDescent="0.25">
      <c r="B198" s="64">
        <f t="shared" si="9"/>
        <v>45451.958333332877</v>
      </c>
      <c r="C198" s="65">
        <f t="shared" si="10"/>
        <v>7.9583333333333552</v>
      </c>
      <c r="D198" s="124">
        <v>10.199999999999999</v>
      </c>
      <c r="E198" s="124">
        <v>12.6</v>
      </c>
      <c r="F198" s="125">
        <v>15</v>
      </c>
    </row>
    <row r="199" spans="2:6" x14ac:dyDescent="0.25">
      <c r="B199" s="64">
        <f t="shared" si="9"/>
        <v>45451.999999999542</v>
      </c>
      <c r="C199" s="65">
        <f t="shared" si="10"/>
        <v>8.0000000000000213</v>
      </c>
      <c r="D199" s="124">
        <v>10.4</v>
      </c>
      <c r="E199" s="124">
        <v>12.9</v>
      </c>
      <c r="F199" s="125">
        <v>14.8</v>
      </c>
    </row>
    <row r="200" spans="2:6" x14ac:dyDescent="0.25">
      <c r="B200" s="64">
        <f t="shared" si="9"/>
        <v>45452.041666666206</v>
      </c>
      <c r="C200" s="65">
        <f t="shared" si="10"/>
        <v>8.0416666666666874</v>
      </c>
      <c r="D200" s="124">
        <v>10.6</v>
      </c>
      <c r="E200" s="124">
        <v>13.2</v>
      </c>
      <c r="F200" s="125">
        <v>14.6</v>
      </c>
    </row>
    <row r="201" spans="2:6" x14ac:dyDescent="0.25">
      <c r="B201" s="64">
        <f t="shared" si="9"/>
        <v>45452.08333333287</v>
      </c>
      <c r="C201" s="65">
        <f t="shared" si="10"/>
        <v>8.0833333333333535</v>
      </c>
      <c r="D201" s="124">
        <v>9.6999999999999993</v>
      </c>
      <c r="E201" s="124">
        <v>12.1</v>
      </c>
      <c r="F201" s="125">
        <v>14.6</v>
      </c>
    </row>
    <row r="202" spans="2:6" x14ac:dyDescent="0.25">
      <c r="B202" s="64">
        <f t="shared" si="9"/>
        <v>45452.124999999534</v>
      </c>
      <c r="C202" s="65">
        <f t="shared" si="10"/>
        <v>8.1250000000000195</v>
      </c>
      <c r="D202" s="124">
        <v>8.8000000000000007</v>
      </c>
      <c r="E202" s="124">
        <v>11</v>
      </c>
      <c r="F202" s="125">
        <v>14.6</v>
      </c>
    </row>
    <row r="203" spans="2:6" x14ac:dyDescent="0.25">
      <c r="B203" s="64">
        <f t="shared" ref="B203:B234" si="11">B202+TIME(1,0,0)</f>
        <v>45452.166666666199</v>
      </c>
      <c r="C203" s="65">
        <f t="shared" ref="C203:C234" si="12">C202+TIME(1,0,0)</f>
        <v>8.1666666666666856</v>
      </c>
      <c r="D203" s="124">
        <v>7.9</v>
      </c>
      <c r="E203" s="124">
        <v>9.9</v>
      </c>
      <c r="F203" s="125">
        <v>14.7</v>
      </c>
    </row>
    <row r="204" spans="2:6" x14ac:dyDescent="0.25">
      <c r="B204" s="64">
        <f t="shared" si="11"/>
        <v>45452.208333332863</v>
      </c>
      <c r="C204" s="65">
        <f t="shared" si="12"/>
        <v>8.2083333333333517</v>
      </c>
      <c r="D204" s="124">
        <v>7</v>
      </c>
      <c r="E204" s="124">
        <v>8.8000000000000007</v>
      </c>
      <c r="F204" s="125">
        <v>14.7</v>
      </c>
    </row>
    <row r="205" spans="2:6" x14ac:dyDescent="0.25">
      <c r="B205" s="64">
        <f t="shared" si="11"/>
        <v>45452.249999999527</v>
      </c>
      <c r="C205" s="65">
        <f t="shared" si="12"/>
        <v>8.2500000000000178</v>
      </c>
      <c r="D205" s="124">
        <v>6.1</v>
      </c>
      <c r="E205" s="124">
        <v>7.7</v>
      </c>
      <c r="F205" s="125">
        <v>14.8</v>
      </c>
    </row>
    <row r="206" spans="2:6" x14ac:dyDescent="0.25">
      <c r="B206" s="64">
        <f t="shared" si="11"/>
        <v>45452.291666666191</v>
      </c>
      <c r="C206" s="65">
        <f t="shared" si="12"/>
        <v>8.2916666666666838</v>
      </c>
      <c r="D206" s="124">
        <v>5.2</v>
      </c>
      <c r="E206" s="124">
        <v>6.6</v>
      </c>
      <c r="F206" s="125">
        <v>15.1</v>
      </c>
    </row>
    <row r="207" spans="2:6" x14ac:dyDescent="0.25">
      <c r="B207" s="64">
        <f t="shared" si="11"/>
        <v>45452.333333332856</v>
      </c>
      <c r="C207" s="65">
        <f t="shared" si="12"/>
        <v>8.3333333333333499</v>
      </c>
      <c r="D207" s="124">
        <v>5.6</v>
      </c>
      <c r="E207" s="124">
        <v>7.2</v>
      </c>
      <c r="F207" s="125">
        <v>15.5</v>
      </c>
    </row>
    <row r="208" spans="2:6" x14ac:dyDescent="0.25">
      <c r="B208" s="64">
        <f t="shared" si="11"/>
        <v>45452.37499999952</v>
      </c>
      <c r="C208" s="65">
        <f t="shared" si="12"/>
        <v>8.375000000000016</v>
      </c>
      <c r="D208" s="124">
        <v>6.1</v>
      </c>
      <c r="E208" s="124">
        <v>7.7</v>
      </c>
      <c r="F208" s="125">
        <v>16</v>
      </c>
    </row>
    <row r="209" spans="2:6" x14ac:dyDescent="0.25">
      <c r="B209" s="64">
        <f t="shared" si="11"/>
        <v>45452.416666666184</v>
      </c>
      <c r="C209" s="65">
        <f t="shared" si="12"/>
        <v>8.4166666666666821</v>
      </c>
      <c r="D209" s="124">
        <v>6.5</v>
      </c>
      <c r="E209" s="124">
        <v>8.3000000000000007</v>
      </c>
      <c r="F209" s="125">
        <v>16.5</v>
      </c>
    </row>
    <row r="210" spans="2:6" x14ac:dyDescent="0.25">
      <c r="B210" s="64">
        <f t="shared" si="11"/>
        <v>45452.458333332848</v>
      </c>
      <c r="C210" s="65">
        <f t="shared" si="12"/>
        <v>8.4583333333333481</v>
      </c>
      <c r="D210" s="124">
        <v>7</v>
      </c>
      <c r="E210" s="124">
        <v>8.8000000000000007</v>
      </c>
      <c r="F210" s="125">
        <v>16.899999999999999</v>
      </c>
    </row>
    <row r="211" spans="2:6" x14ac:dyDescent="0.25">
      <c r="B211" s="64">
        <f t="shared" si="11"/>
        <v>45452.499999999513</v>
      </c>
      <c r="C211" s="65">
        <f t="shared" si="12"/>
        <v>8.5000000000000142</v>
      </c>
      <c r="D211" s="124">
        <v>7.5</v>
      </c>
      <c r="E211" s="124">
        <v>9.4</v>
      </c>
      <c r="F211" s="125">
        <v>17.399999999999999</v>
      </c>
    </row>
    <row r="212" spans="2:6" x14ac:dyDescent="0.25">
      <c r="B212" s="64">
        <f t="shared" si="11"/>
        <v>45452.541666666177</v>
      </c>
      <c r="C212" s="65">
        <f t="shared" si="12"/>
        <v>8.5416666666666803</v>
      </c>
      <c r="D212" s="124">
        <v>7.9</v>
      </c>
      <c r="E212" s="124">
        <v>9.9</v>
      </c>
      <c r="F212" s="125">
        <v>17.8</v>
      </c>
    </row>
    <row r="213" spans="2:6" x14ac:dyDescent="0.25">
      <c r="B213" s="64">
        <f t="shared" si="11"/>
        <v>45452.583333332841</v>
      </c>
      <c r="C213" s="65">
        <f t="shared" si="12"/>
        <v>8.5833333333333464</v>
      </c>
      <c r="D213" s="124">
        <v>7.8</v>
      </c>
      <c r="E213" s="124">
        <v>9.8000000000000007</v>
      </c>
      <c r="F213" s="125">
        <v>17.8</v>
      </c>
    </row>
    <row r="214" spans="2:6" x14ac:dyDescent="0.25">
      <c r="B214" s="64">
        <f t="shared" si="11"/>
        <v>45452.624999999505</v>
      </c>
      <c r="C214" s="65">
        <f t="shared" si="12"/>
        <v>8.6250000000000124</v>
      </c>
      <c r="D214" s="124">
        <v>7.8</v>
      </c>
      <c r="E214" s="124">
        <v>9.6999999999999993</v>
      </c>
      <c r="F214" s="125">
        <v>17.7</v>
      </c>
    </row>
    <row r="215" spans="2:6" x14ac:dyDescent="0.25">
      <c r="B215" s="64">
        <f t="shared" si="11"/>
        <v>45452.666666666169</v>
      </c>
      <c r="C215" s="65">
        <f t="shared" si="12"/>
        <v>8.6666666666666785</v>
      </c>
      <c r="D215" s="124">
        <v>7.7</v>
      </c>
      <c r="E215" s="124">
        <v>9.6999999999999993</v>
      </c>
      <c r="F215" s="125">
        <v>17.600000000000001</v>
      </c>
    </row>
    <row r="216" spans="2:6" x14ac:dyDescent="0.25">
      <c r="B216" s="64">
        <f t="shared" si="11"/>
        <v>45452.708333332834</v>
      </c>
      <c r="C216" s="65">
        <f t="shared" si="12"/>
        <v>8.7083333333333446</v>
      </c>
      <c r="D216" s="124">
        <v>7.6</v>
      </c>
      <c r="E216" s="124">
        <v>9.6</v>
      </c>
      <c r="F216" s="125">
        <v>17.5</v>
      </c>
    </row>
    <row r="217" spans="2:6" x14ac:dyDescent="0.25">
      <c r="B217" s="64">
        <f t="shared" si="11"/>
        <v>45452.749999999498</v>
      </c>
      <c r="C217" s="65">
        <f t="shared" si="12"/>
        <v>8.7500000000000107</v>
      </c>
      <c r="D217" s="124">
        <v>7.6</v>
      </c>
      <c r="E217" s="124">
        <v>9.5</v>
      </c>
      <c r="F217" s="125">
        <v>17.100000000000001</v>
      </c>
    </row>
    <row r="218" spans="2:6" x14ac:dyDescent="0.25">
      <c r="B218" s="64">
        <f t="shared" si="11"/>
        <v>45452.791666666162</v>
      </c>
      <c r="C218" s="65">
        <f t="shared" si="12"/>
        <v>8.7916666666666767</v>
      </c>
      <c r="D218" s="124">
        <v>7.5</v>
      </c>
      <c r="E218" s="124">
        <v>9.4</v>
      </c>
      <c r="F218" s="125">
        <v>16.8</v>
      </c>
    </row>
    <row r="219" spans="2:6" x14ac:dyDescent="0.25">
      <c r="B219" s="64">
        <f t="shared" si="11"/>
        <v>45452.833333332826</v>
      </c>
      <c r="C219" s="65">
        <f t="shared" si="12"/>
        <v>8.8333333333333428</v>
      </c>
      <c r="D219" s="124"/>
      <c r="E219" s="124"/>
      <c r="F219" s="125">
        <v>16.8</v>
      </c>
    </row>
    <row r="220" spans="2:6" x14ac:dyDescent="0.25">
      <c r="B220" s="64">
        <f t="shared" si="11"/>
        <v>45452.874999999491</v>
      </c>
      <c r="C220" s="65">
        <f t="shared" si="12"/>
        <v>8.8750000000000089</v>
      </c>
      <c r="D220" s="124"/>
      <c r="E220" s="124"/>
      <c r="F220" s="125"/>
    </row>
    <row r="221" spans="2:6" x14ac:dyDescent="0.25">
      <c r="B221" s="64">
        <f t="shared" si="11"/>
        <v>45452.916666666155</v>
      </c>
      <c r="C221" s="65">
        <f t="shared" si="12"/>
        <v>8.916666666666675</v>
      </c>
      <c r="D221" s="124"/>
      <c r="E221" s="124"/>
      <c r="F221" s="125"/>
    </row>
    <row r="222" spans="2:6" x14ac:dyDescent="0.25">
      <c r="B222" s="64">
        <f t="shared" si="11"/>
        <v>45452.958333332819</v>
      </c>
      <c r="C222" s="65">
        <f t="shared" si="12"/>
        <v>8.958333333333341</v>
      </c>
      <c r="D222" s="124"/>
      <c r="E222" s="124"/>
      <c r="F222" s="125"/>
    </row>
    <row r="223" spans="2:6" x14ac:dyDescent="0.25">
      <c r="B223" s="64">
        <f t="shared" si="11"/>
        <v>45452.999999999483</v>
      </c>
      <c r="C223" s="65">
        <f t="shared" si="12"/>
        <v>9.0000000000000071</v>
      </c>
      <c r="D223" s="124"/>
      <c r="E223" s="124"/>
      <c r="F223" s="125"/>
    </row>
    <row r="224" spans="2:6" x14ac:dyDescent="0.25">
      <c r="B224" s="64">
        <f t="shared" si="11"/>
        <v>45453.041666666148</v>
      </c>
      <c r="C224" s="65">
        <f t="shared" si="12"/>
        <v>9.0416666666666732</v>
      </c>
      <c r="D224" s="124"/>
      <c r="E224" s="124"/>
      <c r="F224" s="125"/>
    </row>
    <row r="225" spans="2:6" x14ac:dyDescent="0.25">
      <c r="B225" s="64">
        <f t="shared" si="11"/>
        <v>45453.083333332812</v>
      </c>
      <c r="C225" s="65">
        <f t="shared" si="12"/>
        <v>9.0833333333333393</v>
      </c>
      <c r="D225" s="124"/>
      <c r="E225" s="124"/>
      <c r="F225" s="125"/>
    </row>
    <row r="226" spans="2:6" x14ac:dyDescent="0.25">
      <c r="B226" s="64">
        <f t="shared" si="11"/>
        <v>45453.124999999476</v>
      </c>
      <c r="C226" s="65">
        <f t="shared" si="12"/>
        <v>9.1250000000000053</v>
      </c>
      <c r="D226" s="124"/>
      <c r="E226" s="124"/>
      <c r="F226" s="125"/>
    </row>
    <row r="227" spans="2:6" x14ac:dyDescent="0.25">
      <c r="B227" s="64">
        <f t="shared" si="11"/>
        <v>45453.16666666614</v>
      </c>
      <c r="C227" s="65">
        <f t="shared" si="12"/>
        <v>9.1666666666666714</v>
      </c>
      <c r="D227" s="124"/>
      <c r="E227" s="124"/>
      <c r="F227" s="125"/>
    </row>
    <row r="228" spans="2:6" x14ac:dyDescent="0.25">
      <c r="B228" s="64">
        <f t="shared" si="11"/>
        <v>45453.208333332805</v>
      </c>
      <c r="C228" s="65">
        <f t="shared" si="12"/>
        <v>9.2083333333333375</v>
      </c>
      <c r="D228" s="124"/>
      <c r="E228" s="124"/>
      <c r="F228" s="125"/>
    </row>
    <row r="229" spans="2:6" x14ac:dyDescent="0.25">
      <c r="B229" s="64">
        <f t="shared" si="11"/>
        <v>45453.249999999469</v>
      </c>
      <c r="C229" s="65">
        <f t="shared" si="12"/>
        <v>9.2500000000000036</v>
      </c>
      <c r="D229" s="124"/>
      <c r="E229" s="124"/>
      <c r="F229" s="125"/>
    </row>
    <row r="230" spans="2:6" x14ac:dyDescent="0.25">
      <c r="B230" s="64">
        <f t="shared" si="11"/>
        <v>45453.291666666133</v>
      </c>
      <c r="C230" s="65">
        <f t="shared" si="12"/>
        <v>9.2916666666666696</v>
      </c>
      <c r="D230" s="124"/>
      <c r="E230" s="124"/>
      <c r="F230" s="125"/>
    </row>
    <row r="231" spans="2:6" x14ac:dyDescent="0.25">
      <c r="B231" s="64">
        <f t="shared" si="11"/>
        <v>45453.333333332797</v>
      </c>
      <c r="C231" s="65">
        <f t="shared" si="12"/>
        <v>9.3333333333333357</v>
      </c>
      <c r="D231" s="124"/>
      <c r="E231" s="124"/>
      <c r="F231" s="125"/>
    </row>
    <row r="232" spans="2:6" x14ac:dyDescent="0.25">
      <c r="B232" s="64">
        <f t="shared" si="11"/>
        <v>45453.374999999462</v>
      </c>
      <c r="C232" s="65">
        <f t="shared" si="12"/>
        <v>9.3750000000000018</v>
      </c>
      <c r="D232" s="124"/>
      <c r="E232" s="124"/>
      <c r="F232" s="125"/>
    </row>
    <row r="233" spans="2:6" x14ac:dyDescent="0.25">
      <c r="B233" s="64">
        <f t="shared" si="11"/>
        <v>45453.416666666126</v>
      </c>
      <c r="C233" s="65">
        <f t="shared" si="12"/>
        <v>9.4166666666666679</v>
      </c>
      <c r="D233" s="124"/>
      <c r="E233" s="124"/>
      <c r="F233" s="125"/>
    </row>
    <row r="234" spans="2:6" x14ac:dyDescent="0.25">
      <c r="B234" s="64">
        <f t="shared" si="11"/>
        <v>45453.45833333279</v>
      </c>
      <c r="C234" s="65">
        <f t="shared" si="12"/>
        <v>9.4583333333333339</v>
      </c>
      <c r="D234" s="124"/>
      <c r="E234" s="124"/>
      <c r="F234" s="125"/>
    </row>
    <row r="235" spans="2:6" x14ac:dyDescent="0.25">
      <c r="B235" s="64">
        <f t="shared" ref="B235:B245" si="13">B234+TIME(1,0,0)</f>
        <v>45453.499999999454</v>
      </c>
      <c r="C235" s="65">
        <f t="shared" ref="C235:C245" si="14">C234+TIME(1,0,0)</f>
        <v>9.5</v>
      </c>
      <c r="D235" s="124"/>
      <c r="E235" s="124"/>
      <c r="F235" s="125"/>
    </row>
    <row r="236" spans="2:6" x14ac:dyDescent="0.25">
      <c r="B236" s="64">
        <f t="shared" si="13"/>
        <v>45453.541666666119</v>
      </c>
      <c r="C236" s="65">
        <f t="shared" si="14"/>
        <v>9.5416666666666661</v>
      </c>
      <c r="D236" s="124"/>
      <c r="E236" s="124"/>
      <c r="F236" s="125"/>
    </row>
    <row r="237" spans="2:6" x14ac:dyDescent="0.25">
      <c r="B237" s="64">
        <f t="shared" si="13"/>
        <v>45453.583333332783</v>
      </c>
      <c r="C237" s="65">
        <f t="shared" si="14"/>
        <v>9.5833333333333321</v>
      </c>
      <c r="D237" s="124"/>
      <c r="E237" s="124"/>
      <c r="F237" s="125"/>
    </row>
    <row r="238" spans="2:6" x14ac:dyDescent="0.25">
      <c r="B238" s="64">
        <f t="shared" si="13"/>
        <v>45453.624999999447</v>
      </c>
      <c r="C238" s="65">
        <f t="shared" si="14"/>
        <v>9.6249999999999982</v>
      </c>
      <c r="D238" s="124"/>
      <c r="E238" s="124"/>
      <c r="F238" s="125"/>
    </row>
    <row r="239" spans="2:6" x14ac:dyDescent="0.25">
      <c r="B239" s="64">
        <f t="shared" si="13"/>
        <v>45453.666666666111</v>
      </c>
      <c r="C239" s="65">
        <f t="shared" si="14"/>
        <v>9.6666666666666643</v>
      </c>
      <c r="D239" s="124"/>
      <c r="E239" s="124"/>
      <c r="F239" s="125"/>
    </row>
    <row r="240" spans="2:6" x14ac:dyDescent="0.25">
      <c r="B240" s="64">
        <f t="shared" si="13"/>
        <v>45453.708333332776</v>
      </c>
      <c r="C240" s="65">
        <f t="shared" si="14"/>
        <v>9.7083333333333304</v>
      </c>
      <c r="D240" s="124"/>
      <c r="E240" s="124"/>
      <c r="F240" s="125"/>
    </row>
    <row r="241" spans="2:6" x14ac:dyDescent="0.25">
      <c r="B241" s="64">
        <f t="shared" si="13"/>
        <v>45453.74999999944</v>
      </c>
      <c r="C241" s="65">
        <f t="shared" si="14"/>
        <v>9.7499999999999964</v>
      </c>
      <c r="D241" s="124"/>
      <c r="E241" s="124"/>
      <c r="F241" s="125"/>
    </row>
    <row r="242" spans="2:6" x14ac:dyDescent="0.25">
      <c r="B242" s="64">
        <f t="shared" si="13"/>
        <v>45453.791666666104</v>
      </c>
      <c r="C242" s="65">
        <f t="shared" si="14"/>
        <v>9.7916666666666625</v>
      </c>
      <c r="D242" s="124"/>
      <c r="E242" s="124"/>
      <c r="F242" s="125"/>
    </row>
    <row r="243" spans="2:6" x14ac:dyDescent="0.25">
      <c r="B243" s="64">
        <f t="shared" si="13"/>
        <v>45453.833333332768</v>
      </c>
      <c r="C243" s="65">
        <f t="shared" si="14"/>
        <v>9.8333333333333286</v>
      </c>
      <c r="D243" s="124"/>
      <c r="E243" s="124"/>
      <c r="F243" s="125"/>
    </row>
    <row r="244" spans="2:6" x14ac:dyDescent="0.25">
      <c r="B244" s="64">
        <f t="shared" si="13"/>
        <v>45453.874999999432</v>
      </c>
      <c r="C244" s="65">
        <f t="shared" si="14"/>
        <v>9.8749999999999947</v>
      </c>
      <c r="D244" s="124"/>
      <c r="E244" s="124"/>
      <c r="F244" s="125"/>
    </row>
    <row r="245" spans="2:6" ht="15.75" thickBot="1" x14ac:dyDescent="0.3">
      <c r="B245" s="66">
        <f t="shared" si="13"/>
        <v>45453.916666666097</v>
      </c>
      <c r="C245" s="67">
        <f t="shared" si="14"/>
        <v>9.9166666666666607</v>
      </c>
      <c r="D245" s="126"/>
      <c r="E245" s="126"/>
      <c r="F245" s="127"/>
    </row>
    <row r="246" spans="2:6" ht="3.6" customHeight="1" x14ac:dyDescent="0.25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25" activePane="bottomRight" state="frozen"/>
      <selection activeCell="A16" sqref="A16"/>
      <selection pane="topRight" activeCell="G16" sqref="G16"/>
      <selection pane="bottomLeft" activeCell="A19" sqref="A19"/>
      <selection pane="bottomRight" activeCell="H44" sqref="H44"/>
    </sheetView>
  </sheetViews>
  <sheetFormatPr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7" width="4.42578125" style="18" bestFit="1" customWidth="1"/>
    <col min="8" max="8" width="4.28515625" style="18" customWidth="1"/>
    <col min="9" max="52" width="4.28515625" style="18" bestFit="1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76.150000000000006" hidden="1" customHeight="1" x14ac:dyDescent="0.2">
      <c r="G1" s="35">
        <f>'Plantilla Datos'!E3+1+'Plantilla Datos'!E4</f>
        <v>45444.083333333336</v>
      </c>
      <c r="H1" s="35">
        <f>G1+TIME(1,0,0)</f>
        <v>45444.125</v>
      </c>
      <c r="I1" s="35">
        <f t="shared" ref="I1:BT1" si="0">H1+TIME(1,0,0)</f>
        <v>45444.166666666664</v>
      </c>
      <c r="J1" s="35">
        <f t="shared" si="0"/>
        <v>45444.208333333328</v>
      </c>
      <c r="K1" s="35">
        <f t="shared" si="0"/>
        <v>45444.249999999993</v>
      </c>
      <c r="L1" s="35">
        <f t="shared" si="0"/>
        <v>45444.291666666657</v>
      </c>
      <c r="M1" s="35">
        <f t="shared" si="0"/>
        <v>45444.333333333321</v>
      </c>
      <c r="N1" s="35">
        <f t="shared" si="0"/>
        <v>45444.374999999985</v>
      </c>
      <c r="O1" s="35">
        <f t="shared" si="0"/>
        <v>45444.41666666665</v>
      </c>
      <c r="P1" s="35">
        <f t="shared" si="0"/>
        <v>45444.458333333314</v>
      </c>
      <c r="Q1" s="35">
        <f t="shared" si="0"/>
        <v>45444.499999999978</v>
      </c>
      <c r="R1" s="35">
        <f t="shared" si="0"/>
        <v>45444.541666666642</v>
      </c>
      <c r="S1" s="35">
        <f t="shared" si="0"/>
        <v>45444.583333333307</v>
      </c>
      <c r="T1" s="35">
        <f t="shared" si="0"/>
        <v>45444.624999999971</v>
      </c>
      <c r="U1" s="35">
        <f t="shared" si="0"/>
        <v>45444.666666666635</v>
      </c>
      <c r="V1" s="35">
        <f t="shared" si="0"/>
        <v>45444.708333333299</v>
      </c>
      <c r="W1" s="35">
        <f t="shared" si="0"/>
        <v>45444.749999999964</v>
      </c>
      <c r="X1" s="35">
        <f t="shared" si="0"/>
        <v>45444.791666666628</v>
      </c>
      <c r="Y1" s="35">
        <f t="shared" si="0"/>
        <v>45444.833333333292</v>
      </c>
      <c r="Z1" s="35">
        <f t="shared" si="0"/>
        <v>45444.874999999956</v>
      </c>
      <c r="AA1" s="35">
        <f t="shared" si="0"/>
        <v>45444.916666666621</v>
      </c>
      <c r="AB1" s="35">
        <f t="shared" si="0"/>
        <v>45444.958333333285</v>
      </c>
      <c r="AC1" s="35">
        <f t="shared" si="0"/>
        <v>45444.999999999949</v>
      </c>
      <c r="AD1" s="35">
        <f t="shared" si="0"/>
        <v>45445.041666666613</v>
      </c>
      <c r="AE1" s="35">
        <f t="shared" si="0"/>
        <v>45445.083333333278</v>
      </c>
      <c r="AF1" s="35">
        <f t="shared" si="0"/>
        <v>45445.124999999942</v>
      </c>
      <c r="AG1" s="35">
        <f t="shared" si="0"/>
        <v>45445.166666666606</v>
      </c>
      <c r="AH1" s="35">
        <f t="shared" si="0"/>
        <v>45445.20833333327</v>
      </c>
      <c r="AI1" s="35">
        <f t="shared" si="0"/>
        <v>45445.249999999935</v>
      </c>
      <c r="AJ1" s="35">
        <f t="shared" si="0"/>
        <v>45445.291666666599</v>
      </c>
      <c r="AK1" s="35">
        <f t="shared" si="0"/>
        <v>45445.333333333263</v>
      </c>
      <c r="AL1" s="35">
        <f t="shared" si="0"/>
        <v>45445.374999999927</v>
      </c>
      <c r="AM1" s="35">
        <f t="shared" si="0"/>
        <v>45445.416666666591</v>
      </c>
      <c r="AN1" s="35">
        <f t="shared" si="0"/>
        <v>45445.458333333256</v>
      </c>
      <c r="AO1" s="35">
        <f t="shared" si="0"/>
        <v>45445.49999999992</v>
      </c>
      <c r="AP1" s="35">
        <f t="shared" si="0"/>
        <v>45445.541666666584</v>
      </c>
      <c r="AQ1" s="35">
        <f t="shared" si="0"/>
        <v>45445.583333333248</v>
      </c>
      <c r="AR1" s="35">
        <f t="shared" si="0"/>
        <v>45445.624999999913</v>
      </c>
      <c r="AS1" s="35">
        <f t="shared" si="0"/>
        <v>45445.666666666577</v>
      </c>
      <c r="AT1" s="35">
        <f t="shared" si="0"/>
        <v>45445.708333333241</v>
      </c>
      <c r="AU1" s="35">
        <f t="shared" si="0"/>
        <v>45445.749999999905</v>
      </c>
      <c r="AV1" s="35">
        <f t="shared" si="0"/>
        <v>45445.79166666657</v>
      </c>
      <c r="AW1" s="35">
        <f t="shared" si="0"/>
        <v>45445.833333333234</v>
      </c>
      <c r="AX1" s="35">
        <f t="shared" si="0"/>
        <v>45445.874999999898</v>
      </c>
      <c r="AY1" s="35">
        <f t="shared" si="0"/>
        <v>45445.916666666562</v>
      </c>
      <c r="AZ1" s="35">
        <f t="shared" si="0"/>
        <v>45445.958333333227</v>
      </c>
      <c r="BA1" s="35">
        <f t="shared" si="0"/>
        <v>45445.999999999891</v>
      </c>
      <c r="BB1" s="35">
        <f t="shared" si="0"/>
        <v>45446.041666666555</v>
      </c>
      <c r="BC1" s="35">
        <f t="shared" si="0"/>
        <v>45446.083333333219</v>
      </c>
      <c r="BD1" s="35">
        <f t="shared" si="0"/>
        <v>45446.124999999884</v>
      </c>
      <c r="BE1" s="35">
        <f t="shared" si="0"/>
        <v>45446.166666666548</v>
      </c>
      <c r="BF1" s="35">
        <f t="shared" si="0"/>
        <v>45446.208333333212</v>
      </c>
      <c r="BG1" s="35">
        <f t="shared" si="0"/>
        <v>45446.249999999876</v>
      </c>
      <c r="BH1" s="35">
        <f t="shared" si="0"/>
        <v>45446.291666666541</v>
      </c>
      <c r="BI1" s="35">
        <f t="shared" si="0"/>
        <v>45446.333333333205</v>
      </c>
      <c r="BJ1" s="35">
        <f t="shared" si="0"/>
        <v>45446.374999999869</v>
      </c>
      <c r="BK1" s="35">
        <f t="shared" si="0"/>
        <v>45446.416666666533</v>
      </c>
      <c r="BL1" s="35">
        <f t="shared" si="0"/>
        <v>45446.458333333198</v>
      </c>
      <c r="BM1" s="35">
        <f t="shared" si="0"/>
        <v>45446.499999999862</v>
      </c>
      <c r="BN1" s="35">
        <f t="shared" si="0"/>
        <v>45446.541666666526</v>
      </c>
      <c r="BO1" s="35">
        <f t="shared" si="0"/>
        <v>45446.58333333319</v>
      </c>
      <c r="BP1" s="35">
        <f t="shared" si="0"/>
        <v>45446.624999999854</v>
      </c>
      <c r="BQ1" s="35">
        <f t="shared" si="0"/>
        <v>45446.666666666519</v>
      </c>
      <c r="BR1" s="35">
        <f t="shared" si="0"/>
        <v>45446.708333333183</v>
      </c>
      <c r="BS1" s="35">
        <f t="shared" si="0"/>
        <v>45446.749999999847</v>
      </c>
      <c r="BT1" s="35">
        <f t="shared" si="0"/>
        <v>45446.791666666511</v>
      </c>
      <c r="BU1" s="35">
        <f t="shared" ref="BU1:EF1" si="1">BT1+TIME(1,0,0)</f>
        <v>45446.833333333176</v>
      </c>
      <c r="BV1" s="35">
        <f t="shared" si="1"/>
        <v>45446.87499999984</v>
      </c>
      <c r="BW1" s="35">
        <f t="shared" si="1"/>
        <v>45446.916666666504</v>
      </c>
      <c r="BX1" s="35">
        <f t="shared" si="1"/>
        <v>45446.958333333168</v>
      </c>
      <c r="BY1" s="35">
        <f t="shared" si="1"/>
        <v>45446.999999999833</v>
      </c>
      <c r="BZ1" s="35">
        <f t="shared" si="1"/>
        <v>45447.041666666497</v>
      </c>
      <c r="CA1" s="35">
        <f t="shared" si="1"/>
        <v>45447.083333333161</v>
      </c>
      <c r="CB1" s="35">
        <f t="shared" si="1"/>
        <v>45447.124999999825</v>
      </c>
      <c r="CC1" s="35">
        <f t="shared" si="1"/>
        <v>45447.16666666649</v>
      </c>
      <c r="CD1" s="35">
        <f t="shared" si="1"/>
        <v>45447.208333333154</v>
      </c>
      <c r="CE1" s="35">
        <f t="shared" si="1"/>
        <v>45447.249999999818</v>
      </c>
      <c r="CF1" s="35">
        <f t="shared" si="1"/>
        <v>45447.291666666482</v>
      </c>
      <c r="CG1" s="35">
        <f t="shared" si="1"/>
        <v>45447.333333333147</v>
      </c>
      <c r="CH1" s="35">
        <f t="shared" si="1"/>
        <v>45447.374999999811</v>
      </c>
      <c r="CI1" s="35">
        <f t="shared" si="1"/>
        <v>45447.416666666475</v>
      </c>
      <c r="CJ1" s="35">
        <f t="shared" si="1"/>
        <v>45447.458333333139</v>
      </c>
      <c r="CK1" s="35">
        <f t="shared" si="1"/>
        <v>45447.499999999804</v>
      </c>
      <c r="CL1" s="35">
        <f t="shared" si="1"/>
        <v>45447.541666666468</v>
      </c>
      <c r="CM1" s="35">
        <f t="shared" si="1"/>
        <v>45447.583333333132</v>
      </c>
      <c r="CN1" s="35">
        <f t="shared" si="1"/>
        <v>45447.624999999796</v>
      </c>
      <c r="CO1" s="35">
        <f t="shared" si="1"/>
        <v>45447.666666666461</v>
      </c>
      <c r="CP1" s="35">
        <f t="shared" si="1"/>
        <v>45447.708333333125</v>
      </c>
      <c r="CQ1" s="35">
        <f t="shared" si="1"/>
        <v>45447.749999999789</v>
      </c>
      <c r="CR1" s="35">
        <f t="shared" si="1"/>
        <v>45447.791666666453</v>
      </c>
      <c r="CS1" s="35">
        <f t="shared" si="1"/>
        <v>45447.833333333117</v>
      </c>
      <c r="CT1" s="35">
        <f t="shared" si="1"/>
        <v>45447.874999999782</v>
      </c>
      <c r="CU1" s="35">
        <f t="shared" si="1"/>
        <v>45447.916666666446</v>
      </c>
      <c r="CV1" s="35">
        <f t="shared" si="1"/>
        <v>45447.95833333311</v>
      </c>
      <c r="CW1" s="35">
        <f t="shared" si="1"/>
        <v>45447.999999999774</v>
      </c>
      <c r="CX1" s="35">
        <f t="shared" si="1"/>
        <v>45448.041666666439</v>
      </c>
      <c r="CY1" s="35">
        <f t="shared" si="1"/>
        <v>45448.083333333103</v>
      </c>
      <c r="CZ1" s="35">
        <f t="shared" si="1"/>
        <v>45448.124999999767</v>
      </c>
      <c r="DA1" s="35">
        <f t="shared" si="1"/>
        <v>45448.166666666431</v>
      </c>
      <c r="DB1" s="35">
        <f t="shared" si="1"/>
        <v>45448.208333333096</v>
      </c>
      <c r="DC1" s="35">
        <f t="shared" si="1"/>
        <v>45448.24999999976</v>
      </c>
      <c r="DD1" s="35">
        <f t="shared" si="1"/>
        <v>45448.291666666424</v>
      </c>
      <c r="DE1" s="35">
        <f t="shared" si="1"/>
        <v>45448.333333333088</v>
      </c>
      <c r="DF1" s="35">
        <f t="shared" si="1"/>
        <v>45448.374999999753</v>
      </c>
      <c r="DG1" s="35">
        <f t="shared" si="1"/>
        <v>45448.416666666417</v>
      </c>
      <c r="DH1" s="35">
        <f t="shared" si="1"/>
        <v>45448.458333333081</v>
      </c>
      <c r="DI1" s="35">
        <f t="shared" si="1"/>
        <v>45448.499999999745</v>
      </c>
      <c r="DJ1" s="35">
        <f t="shared" si="1"/>
        <v>45448.54166666641</v>
      </c>
      <c r="DK1" s="35">
        <f t="shared" si="1"/>
        <v>45448.583333333074</v>
      </c>
      <c r="DL1" s="35">
        <f t="shared" si="1"/>
        <v>45448.624999999738</v>
      </c>
      <c r="DM1" s="35">
        <f t="shared" si="1"/>
        <v>45448.666666666402</v>
      </c>
      <c r="DN1" s="35">
        <f t="shared" si="1"/>
        <v>45448.708333333067</v>
      </c>
      <c r="DO1" s="35">
        <f t="shared" si="1"/>
        <v>45448.749999999731</v>
      </c>
      <c r="DP1" s="35">
        <f t="shared" si="1"/>
        <v>45448.791666666395</v>
      </c>
      <c r="DQ1" s="35">
        <f t="shared" si="1"/>
        <v>45448.833333333059</v>
      </c>
      <c r="DR1" s="35">
        <f t="shared" si="1"/>
        <v>45448.874999999724</v>
      </c>
      <c r="DS1" s="35">
        <f t="shared" si="1"/>
        <v>45448.916666666388</v>
      </c>
      <c r="DT1" s="35">
        <f t="shared" si="1"/>
        <v>45448.958333333052</v>
      </c>
      <c r="DU1" s="35">
        <f t="shared" si="1"/>
        <v>45448.999999999716</v>
      </c>
      <c r="DV1" s="35">
        <f t="shared" si="1"/>
        <v>45449.04166666638</v>
      </c>
      <c r="DW1" s="35">
        <f t="shared" si="1"/>
        <v>45449.083333333045</v>
      </c>
      <c r="DX1" s="35">
        <f t="shared" si="1"/>
        <v>45449.124999999709</v>
      </c>
      <c r="DY1" s="35">
        <f t="shared" si="1"/>
        <v>45449.166666666373</v>
      </c>
      <c r="DZ1" s="35">
        <f t="shared" si="1"/>
        <v>45449.208333333037</v>
      </c>
      <c r="EA1" s="35">
        <f t="shared" si="1"/>
        <v>45449.249999999702</v>
      </c>
      <c r="EB1" s="35">
        <f t="shared" si="1"/>
        <v>45449.291666666366</v>
      </c>
      <c r="EC1" s="35">
        <f t="shared" si="1"/>
        <v>45449.33333333303</v>
      </c>
      <c r="ED1" s="35">
        <f t="shared" si="1"/>
        <v>45449.374999999694</v>
      </c>
      <c r="EE1" s="35">
        <f t="shared" si="1"/>
        <v>45449.416666666359</v>
      </c>
      <c r="EF1" s="35">
        <f t="shared" si="1"/>
        <v>45449.458333333023</v>
      </c>
      <c r="EG1" s="35">
        <f t="shared" ref="EG1:GR1" si="2">EF1+TIME(1,0,0)</f>
        <v>45449.499999999687</v>
      </c>
      <c r="EH1" s="35">
        <f t="shared" si="2"/>
        <v>45449.541666666351</v>
      </c>
      <c r="EI1" s="35">
        <f t="shared" si="2"/>
        <v>45449.583333333016</v>
      </c>
      <c r="EJ1" s="35">
        <f t="shared" si="2"/>
        <v>45449.62499999968</v>
      </c>
      <c r="EK1" s="35">
        <f t="shared" si="2"/>
        <v>45449.666666666344</v>
      </c>
      <c r="EL1" s="35">
        <f t="shared" si="2"/>
        <v>45449.708333333008</v>
      </c>
      <c r="EM1" s="35">
        <f t="shared" si="2"/>
        <v>45449.749999999673</v>
      </c>
      <c r="EN1" s="35">
        <f t="shared" si="2"/>
        <v>45449.791666666337</v>
      </c>
      <c r="EO1" s="35">
        <f t="shared" si="2"/>
        <v>45449.833333333001</v>
      </c>
      <c r="EP1" s="35">
        <f t="shared" si="2"/>
        <v>45449.874999999665</v>
      </c>
      <c r="EQ1" s="35">
        <f t="shared" si="2"/>
        <v>45449.91666666633</v>
      </c>
      <c r="ER1" s="35">
        <f t="shared" si="2"/>
        <v>45449.958333332994</v>
      </c>
      <c r="ES1" s="35">
        <f t="shared" si="2"/>
        <v>45449.999999999658</v>
      </c>
      <c r="ET1" s="35">
        <f t="shared" si="2"/>
        <v>45450.041666666322</v>
      </c>
      <c r="EU1" s="35">
        <f t="shared" si="2"/>
        <v>45450.083333332987</v>
      </c>
      <c r="EV1" s="35">
        <f t="shared" si="2"/>
        <v>45450.124999999651</v>
      </c>
      <c r="EW1" s="35">
        <f t="shared" si="2"/>
        <v>45450.166666666315</v>
      </c>
      <c r="EX1" s="35">
        <f t="shared" si="2"/>
        <v>45450.208333332979</v>
      </c>
      <c r="EY1" s="35">
        <f t="shared" si="2"/>
        <v>45450.249999999643</v>
      </c>
      <c r="EZ1" s="35">
        <f t="shared" si="2"/>
        <v>45450.291666666308</v>
      </c>
      <c r="FA1" s="35">
        <f t="shared" si="2"/>
        <v>45450.333333332972</v>
      </c>
      <c r="FB1" s="35">
        <f t="shared" si="2"/>
        <v>45450.374999999636</v>
      </c>
      <c r="FC1" s="35">
        <f t="shared" si="2"/>
        <v>45450.4166666663</v>
      </c>
      <c r="FD1" s="35">
        <f t="shared" si="2"/>
        <v>45450.458333332965</v>
      </c>
      <c r="FE1" s="35">
        <f t="shared" si="2"/>
        <v>45450.499999999629</v>
      </c>
      <c r="FF1" s="35">
        <f t="shared" si="2"/>
        <v>45450.541666666293</v>
      </c>
      <c r="FG1" s="35">
        <f t="shared" si="2"/>
        <v>45450.583333332957</v>
      </c>
      <c r="FH1" s="35">
        <f t="shared" si="2"/>
        <v>45450.624999999622</v>
      </c>
      <c r="FI1" s="35">
        <f t="shared" si="2"/>
        <v>45450.666666666286</v>
      </c>
      <c r="FJ1" s="35">
        <f t="shared" si="2"/>
        <v>45450.70833333295</v>
      </c>
      <c r="FK1" s="35">
        <f t="shared" si="2"/>
        <v>45450.749999999614</v>
      </c>
      <c r="FL1" s="35">
        <f t="shared" si="2"/>
        <v>45450.791666666279</v>
      </c>
      <c r="FM1" s="35">
        <f t="shared" si="2"/>
        <v>45450.833333332943</v>
      </c>
      <c r="FN1" s="35">
        <f t="shared" si="2"/>
        <v>45450.874999999607</v>
      </c>
      <c r="FO1" s="35">
        <f t="shared" si="2"/>
        <v>45450.916666666271</v>
      </c>
      <c r="FP1" s="35">
        <f t="shared" si="2"/>
        <v>45450.958333332936</v>
      </c>
      <c r="FQ1" s="35">
        <f t="shared" si="2"/>
        <v>45450.9999999996</v>
      </c>
      <c r="FR1" s="35">
        <f t="shared" si="2"/>
        <v>45451.041666666264</v>
      </c>
      <c r="FS1" s="35">
        <f t="shared" si="2"/>
        <v>45451.083333332928</v>
      </c>
      <c r="FT1" s="35">
        <f t="shared" si="2"/>
        <v>45451.124999999593</v>
      </c>
      <c r="FU1" s="35">
        <f t="shared" si="2"/>
        <v>45451.166666666257</v>
      </c>
      <c r="FV1" s="35">
        <f t="shared" si="2"/>
        <v>45451.208333332921</v>
      </c>
      <c r="FW1" s="35">
        <f t="shared" si="2"/>
        <v>45451.249999999585</v>
      </c>
      <c r="FX1" s="35">
        <f t="shared" si="2"/>
        <v>45451.29166666625</v>
      </c>
      <c r="FY1" s="35">
        <f t="shared" si="2"/>
        <v>45451.333333332914</v>
      </c>
      <c r="FZ1" s="35">
        <f t="shared" si="2"/>
        <v>45451.374999999578</v>
      </c>
      <c r="GA1" s="35">
        <f t="shared" si="2"/>
        <v>45451.416666666242</v>
      </c>
      <c r="GB1" s="35">
        <f t="shared" si="2"/>
        <v>45451.458333332906</v>
      </c>
      <c r="GC1" s="35">
        <f t="shared" si="2"/>
        <v>45451.499999999571</v>
      </c>
      <c r="GD1" s="35">
        <f t="shared" si="2"/>
        <v>45451.541666666235</v>
      </c>
      <c r="GE1" s="35">
        <f t="shared" si="2"/>
        <v>45451.583333332899</v>
      </c>
      <c r="GF1" s="35">
        <f t="shared" si="2"/>
        <v>45451.624999999563</v>
      </c>
      <c r="GG1" s="35">
        <f t="shared" si="2"/>
        <v>45451.666666666228</v>
      </c>
      <c r="GH1" s="35">
        <f t="shared" si="2"/>
        <v>45451.708333332892</v>
      </c>
      <c r="GI1" s="35">
        <f t="shared" si="2"/>
        <v>45451.749999999556</v>
      </c>
      <c r="GJ1" s="35">
        <f t="shared" si="2"/>
        <v>45451.79166666622</v>
      </c>
      <c r="GK1" s="35">
        <f t="shared" si="2"/>
        <v>45451.833333332885</v>
      </c>
      <c r="GL1" s="35">
        <f t="shared" si="2"/>
        <v>45451.874999999549</v>
      </c>
      <c r="GM1" s="35">
        <f t="shared" si="2"/>
        <v>45451.916666666213</v>
      </c>
      <c r="GN1" s="35">
        <f t="shared" si="2"/>
        <v>45451.958333332877</v>
      </c>
      <c r="GO1" s="35">
        <f t="shared" si="2"/>
        <v>45451.999999999542</v>
      </c>
      <c r="GP1" s="35">
        <f t="shared" si="2"/>
        <v>45452.041666666206</v>
      </c>
      <c r="GQ1" s="35">
        <f t="shared" si="2"/>
        <v>45452.08333333287</v>
      </c>
      <c r="GR1" s="35">
        <f t="shared" si="2"/>
        <v>45452.124999999534</v>
      </c>
      <c r="GS1" s="35">
        <f t="shared" ref="GS1:HX1" si="3">GR1+TIME(1,0,0)</f>
        <v>45452.166666666199</v>
      </c>
      <c r="GT1" s="35">
        <f t="shared" si="3"/>
        <v>45452.208333332863</v>
      </c>
      <c r="GU1" s="35">
        <f t="shared" si="3"/>
        <v>45452.249999999527</v>
      </c>
      <c r="GV1" s="35">
        <f t="shared" si="3"/>
        <v>45452.291666666191</v>
      </c>
      <c r="GW1" s="35">
        <f t="shared" si="3"/>
        <v>45452.333333332856</v>
      </c>
      <c r="GX1" s="35">
        <f t="shared" si="3"/>
        <v>45452.37499999952</v>
      </c>
      <c r="GY1" s="35">
        <f t="shared" si="3"/>
        <v>45452.416666666184</v>
      </c>
      <c r="GZ1" s="35">
        <f t="shared" si="3"/>
        <v>45452.458333332848</v>
      </c>
      <c r="HA1" s="35">
        <f t="shared" si="3"/>
        <v>45452.499999999513</v>
      </c>
      <c r="HB1" s="35">
        <f t="shared" si="3"/>
        <v>45452.541666666177</v>
      </c>
      <c r="HC1" s="35">
        <f t="shared" si="3"/>
        <v>45452.583333332841</v>
      </c>
      <c r="HD1" s="35">
        <f t="shared" si="3"/>
        <v>45452.624999999505</v>
      </c>
      <c r="HE1" s="35">
        <f t="shared" si="3"/>
        <v>45452.666666666169</v>
      </c>
      <c r="HF1" s="35">
        <f t="shared" si="3"/>
        <v>45452.708333332834</v>
      </c>
      <c r="HG1" s="35">
        <f t="shared" si="3"/>
        <v>45452.749999999498</v>
      </c>
      <c r="HH1" s="35">
        <f t="shared" si="3"/>
        <v>45452.791666666162</v>
      </c>
      <c r="HI1" s="35">
        <f t="shared" si="3"/>
        <v>45452.833333332826</v>
      </c>
      <c r="HJ1" s="35">
        <f t="shared" si="3"/>
        <v>45452.874999999491</v>
      </c>
      <c r="HK1" s="35">
        <f t="shared" si="3"/>
        <v>45452.916666666155</v>
      </c>
      <c r="HL1" s="35">
        <f t="shared" si="3"/>
        <v>45452.958333332819</v>
      </c>
      <c r="HM1" s="35">
        <f t="shared" si="3"/>
        <v>45452.999999999483</v>
      </c>
      <c r="HN1" s="35">
        <f t="shared" si="3"/>
        <v>45453.041666666148</v>
      </c>
      <c r="HO1" s="35">
        <f t="shared" si="3"/>
        <v>45453.083333332812</v>
      </c>
      <c r="HP1" s="35">
        <f t="shared" si="3"/>
        <v>45453.124999999476</v>
      </c>
      <c r="HQ1" s="35">
        <f t="shared" si="3"/>
        <v>45453.16666666614</v>
      </c>
      <c r="HR1" s="35">
        <f t="shared" si="3"/>
        <v>45453.208333332805</v>
      </c>
      <c r="HS1" s="35">
        <f t="shared" si="3"/>
        <v>45453.249999999469</v>
      </c>
      <c r="HT1" s="35">
        <f t="shared" si="3"/>
        <v>45453.291666666133</v>
      </c>
      <c r="HU1" s="35">
        <f t="shared" si="3"/>
        <v>45453.333333332797</v>
      </c>
      <c r="HV1" s="35">
        <f t="shared" si="3"/>
        <v>45453.374999999462</v>
      </c>
      <c r="HW1" s="35">
        <f t="shared" si="3"/>
        <v>45453.416666666126</v>
      </c>
      <c r="HX1" s="35">
        <f t="shared" si="3"/>
        <v>45453.45833333279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3</v>
      </c>
      <c r="H2" s="18">
        <f t="shared" ref="H2:AL2" si="4">COUNTIFS(H$19:H$75,"=1",$C$19:$C$75,"A",$D$19:$D$75,"5.2",$E$19:$E$75,"Lomitas",$F$19:$F$75,"Cerro")</f>
        <v>3</v>
      </c>
      <c r="I2" s="18">
        <f t="shared" si="4"/>
        <v>3</v>
      </c>
      <c r="J2" s="18">
        <f t="shared" si="4"/>
        <v>3</v>
      </c>
      <c r="K2" s="18">
        <f t="shared" si="4"/>
        <v>3</v>
      </c>
      <c r="L2" s="18">
        <f t="shared" si="4"/>
        <v>3</v>
      </c>
      <c r="M2" s="18">
        <f t="shared" si="4"/>
        <v>3</v>
      </c>
      <c r="N2" s="18">
        <f t="shared" si="4"/>
        <v>3</v>
      </c>
      <c r="O2" s="18">
        <f t="shared" si="4"/>
        <v>3</v>
      </c>
      <c r="P2" s="18">
        <f t="shared" si="4"/>
        <v>3</v>
      </c>
      <c r="Q2" s="18">
        <f t="shared" si="4"/>
        <v>3</v>
      </c>
      <c r="R2" s="18">
        <f t="shared" si="4"/>
        <v>3</v>
      </c>
      <c r="S2" s="18">
        <f t="shared" si="4"/>
        <v>3</v>
      </c>
      <c r="T2" s="18">
        <f t="shared" si="4"/>
        <v>3</v>
      </c>
      <c r="U2" s="18">
        <f t="shared" si="4"/>
        <v>3</v>
      </c>
      <c r="V2" s="18">
        <f t="shared" si="4"/>
        <v>3</v>
      </c>
      <c r="W2" s="18">
        <f t="shared" si="4"/>
        <v>3</v>
      </c>
      <c r="X2" s="18">
        <f t="shared" si="4"/>
        <v>3</v>
      </c>
      <c r="Y2" s="18">
        <f t="shared" si="4"/>
        <v>3</v>
      </c>
      <c r="Z2" s="18">
        <f t="shared" si="4"/>
        <v>3</v>
      </c>
      <c r="AA2" s="18">
        <f t="shared" si="4"/>
        <v>3</v>
      </c>
      <c r="AB2" s="18">
        <f t="shared" si="4"/>
        <v>3</v>
      </c>
      <c r="AC2" s="18">
        <f t="shared" si="4"/>
        <v>3</v>
      </c>
      <c r="AD2" s="18">
        <f t="shared" si="4"/>
        <v>3</v>
      </c>
      <c r="AE2" s="18">
        <f t="shared" si="4"/>
        <v>3</v>
      </c>
      <c r="AF2" s="18">
        <f t="shared" si="4"/>
        <v>3</v>
      </c>
      <c r="AG2" s="18">
        <f t="shared" si="4"/>
        <v>3</v>
      </c>
      <c r="AH2" s="18">
        <f t="shared" si="4"/>
        <v>3</v>
      </c>
      <c r="AI2" s="18">
        <f t="shared" si="4"/>
        <v>3</v>
      </c>
      <c r="AJ2" s="18">
        <f t="shared" si="4"/>
        <v>3</v>
      </c>
      <c r="AK2" s="18">
        <f t="shared" si="4"/>
        <v>3</v>
      </c>
      <c r="AL2" s="18">
        <f t="shared" si="4"/>
        <v>3</v>
      </c>
      <c r="AM2" s="18">
        <f t="shared" ref="AM2:BS2" si="5">COUNTIFS(AM$19:AM$75,"=1",$C$19:$C$75,"A",$D$19:$D$75,"5.2",$E$19:$E$75,"Lomitas",$F$19:$F$75,"Cerro")</f>
        <v>3</v>
      </c>
      <c r="AN2" s="18">
        <f t="shared" si="5"/>
        <v>3</v>
      </c>
      <c r="AO2" s="18">
        <f t="shared" si="5"/>
        <v>3</v>
      </c>
      <c r="AP2" s="18">
        <f t="shared" si="5"/>
        <v>3</v>
      </c>
      <c r="AQ2" s="18">
        <f t="shared" si="5"/>
        <v>3</v>
      </c>
      <c r="AR2" s="18">
        <f t="shared" si="5"/>
        <v>3</v>
      </c>
      <c r="AS2" s="18">
        <f t="shared" si="5"/>
        <v>3</v>
      </c>
      <c r="AT2" s="18">
        <f t="shared" si="5"/>
        <v>3</v>
      </c>
      <c r="AU2" s="18">
        <f t="shared" si="5"/>
        <v>3</v>
      </c>
      <c r="AV2" s="18">
        <f t="shared" si="5"/>
        <v>3</v>
      </c>
      <c r="AW2" s="18">
        <f t="shared" si="5"/>
        <v>3</v>
      </c>
      <c r="AX2" s="18">
        <f t="shared" si="5"/>
        <v>3</v>
      </c>
      <c r="AY2" s="18">
        <f t="shared" si="5"/>
        <v>3</v>
      </c>
      <c r="AZ2" s="18">
        <f t="shared" si="5"/>
        <v>3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5</v>
      </c>
      <c r="H3" s="18">
        <f t="shared" si="9"/>
        <v>5</v>
      </c>
      <c r="I3" s="18">
        <f t="shared" si="9"/>
        <v>5</v>
      </c>
      <c r="J3" s="18">
        <f t="shared" si="9"/>
        <v>5</v>
      </c>
      <c r="K3" s="18">
        <f t="shared" si="9"/>
        <v>5</v>
      </c>
      <c r="L3" s="18">
        <f t="shared" si="9"/>
        <v>5</v>
      </c>
      <c r="M3" s="18">
        <f t="shared" si="9"/>
        <v>5</v>
      </c>
      <c r="N3" s="18">
        <f t="shared" si="9"/>
        <v>5</v>
      </c>
      <c r="O3" s="18">
        <f t="shared" si="9"/>
        <v>5</v>
      </c>
      <c r="P3" s="18">
        <f t="shared" si="9"/>
        <v>5</v>
      </c>
      <c r="Q3" s="18">
        <f t="shared" si="9"/>
        <v>5</v>
      </c>
      <c r="R3" s="18">
        <f t="shared" si="9"/>
        <v>5</v>
      </c>
      <c r="S3" s="18">
        <f t="shared" si="9"/>
        <v>5</v>
      </c>
      <c r="T3" s="18">
        <f t="shared" si="9"/>
        <v>5</v>
      </c>
      <c r="U3" s="18">
        <f t="shared" si="9"/>
        <v>5</v>
      </c>
      <c r="V3" s="18">
        <f t="shared" si="9"/>
        <v>5</v>
      </c>
      <c r="W3" s="18">
        <f t="shared" si="9"/>
        <v>5</v>
      </c>
      <c r="X3" s="18">
        <f t="shared" si="9"/>
        <v>5</v>
      </c>
      <c r="Y3" s="18">
        <f t="shared" si="9"/>
        <v>5</v>
      </c>
      <c r="Z3" s="18">
        <f t="shared" si="9"/>
        <v>5</v>
      </c>
      <c r="AA3" s="18">
        <f t="shared" si="9"/>
        <v>5</v>
      </c>
      <c r="AB3" s="18">
        <f t="shared" si="9"/>
        <v>5</v>
      </c>
      <c r="AC3" s="18">
        <f t="shared" si="9"/>
        <v>5</v>
      </c>
      <c r="AD3" s="18">
        <f t="shared" si="9"/>
        <v>5</v>
      </c>
      <c r="AE3" s="18">
        <f t="shared" si="9"/>
        <v>5</v>
      </c>
      <c r="AF3" s="18">
        <f t="shared" si="9"/>
        <v>5</v>
      </c>
      <c r="AG3" s="18">
        <f t="shared" si="9"/>
        <v>5</v>
      </c>
      <c r="AH3" s="18">
        <f t="shared" si="9"/>
        <v>5</v>
      </c>
      <c r="AI3" s="18">
        <f t="shared" si="9"/>
        <v>5</v>
      </c>
      <c r="AJ3" s="18">
        <f t="shared" si="9"/>
        <v>5</v>
      </c>
      <c r="AK3" s="18">
        <f t="shared" si="9"/>
        <v>5</v>
      </c>
      <c r="AL3" s="18">
        <f t="shared" si="9"/>
        <v>5</v>
      </c>
      <c r="AM3" s="18">
        <f t="shared" ref="AM3:BS3" si="10">COUNTIFS(AM$19:AM$75,"=1",$C$19:$C$75,"A",$D$19:$D$75,"5.2",$E$19:$E$75,"Lomitas",$F$19:$F$75,"Medio")</f>
        <v>5</v>
      </c>
      <c r="AN3" s="18">
        <f t="shared" si="10"/>
        <v>5</v>
      </c>
      <c r="AO3" s="18">
        <f t="shared" si="10"/>
        <v>5</v>
      </c>
      <c r="AP3" s="18">
        <f t="shared" si="10"/>
        <v>5</v>
      </c>
      <c r="AQ3" s="18">
        <f t="shared" si="10"/>
        <v>5</v>
      </c>
      <c r="AR3" s="18">
        <f t="shared" si="10"/>
        <v>5</v>
      </c>
      <c r="AS3" s="18">
        <f t="shared" si="10"/>
        <v>5</v>
      </c>
      <c r="AT3" s="18">
        <f t="shared" si="10"/>
        <v>5</v>
      </c>
      <c r="AU3" s="18">
        <f t="shared" si="10"/>
        <v>5</v>
      </c>
      <c r="AV3" s="18">
        <f t="shared" si="10"/>
        <v>5</v>
      </c>
      <c r="AW3" s="18">
        <f t="shared" si="10"/>
        <v>5</v>
      </c>
      <c r="AX3" s="18">
        <f t="shared" si="10"/>
        <v>5</v>
      </c>
      <c r="AY3" s="18">
        <f t="shared" si="10"/>
        <v>5</v>
      </c>
      <c r="AZ3" s="18">
        <f t="shared" si="10"/>
        <v>5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9</v>
      </c>
      <c r="H4" s="18">
        <f t="shared" si="14"/>
        <v>9</v>
      </c>
      <c r="I4" s="18">
        <f t="shared" si="14"/>
        <v>9</v>
      </c>
      <c r="J4" s="18">
        <f t="shared" si="14"/>
        <v>9</v>
      </c>
      <c r="K4" s="18">
        <f t="shared" si="14"/>
        <v>9</v>
      </c>
      <c r="L4" s="18">
        <f t="shared" si="14"/>
        <v>9</v>
      </c>
      <c r="M4" s="18">
        <f t="shared" si="14"/>
        <v>9</v>
      </c>
      <c r="N4" s="18">
        <f t="shared" si="14"/>
        <v>9</v>
      </c>
      <c r="O4" s="18">
        <f t="shared" si="14"/>
        <v>9</v>
      </c>
      <c r="P4" s="18">
        <f t="shared" si="14"/>
        <v>9</v>
      </c>
      <c r="Q4" s="18">
        <f t="shared" si="14"/>
        <v>9</v>
      </c>
      <c r="R4" s="18">
        <f t="shared" si="14"/>
        <v>9</v>
      </c>
      <c r="S4" s="18">
        <f t="shared" si="14"/>
        <v>9</v>
      </c>
      <c r="T4" s="18">
        <f t="shared" si="14"/>
        <v>9</v>
      </c>
      <c r="U4" s="18">
        <f t="shared" si="14"/>
        <v>9</v>
      </c>
      <c r="V4" s="18">
        <f t="shared" si="14"/>
        <v>9</v>
      </c>
      <c r="W4" s="18">
        <f t="shared" si="14"/>
        <v>9</v>
      </c>
      <c r="X4" s="18">
        <f t="shared" si="14"/>
        <v>9</v>
      </c>
      <c r="Y4" s="18">
        <f t="shared" si="14"/>
        <v>9</v>
      </c>
      <c r="Z4" s="18">
        <f t="shared" si="14"/>
        <v>9</v>
      </c>
      <c r="AA4" s="18">
        <f t="shared" si="14"/>
        <v>9</v>
      </c>
      <c r="AB4" s="18">
        <f t="shared" si="14"/>
        <v>9</v>
      </c>
      <c r="AC4" s="18">
        <f t="shared" si="14"/>
        <v>9</v>
      </c>
      <c r="AD4" s="18">
        <f t="shared" si="14"/>
        <v>9</v>
      </c>
      <c r="AE4" s="18">
        <f t="shared" si="14"/>
        <v>9</v>
      </c>
      <c r="AF4" s="18">
        <f t="shared" si="14"/>
        <v>9</v>
      </c>
      <c r="AG4" s="18">
        <f t="shared" si="14"/>
        <v>9</v>
      </c>
      <c r="AH4" s="18">
        <f t="shared" si="14"/>
        <v>9</v>
      </c>
      <c r="AI4" s="18">
        <f t="shared" si="14"/>
        <v>9</v>
      </c>
      <c r="AJ4" s="18">
        <f t="shared" si="14"/>
        <v>9</v>
      </c>
      <c r="AK4" s="18">
        <f t="shared" si="14"/>
        <v>9</v>
      </c>
      <c r="AL4" s="18">
        <f t="shared" si="14"/>
        <v>9</v>
      </c>
      <c r="AM4" s="18">
        <f t="shared" ref="AM4:BS4" si="15">COUNTIFS(AM$19:AM$75,"=1",$C$19:$C$75,"A",$D$19:$D$75,"5.2",$E$19:$E$75,"Lomitas",$F$19:$F$75,"Mar")</f>
        <v>9</v>
      </c>
      <c r="AN4" s="18">
        <f t="shared" si="15"/>
        <v>9</v>
      </c>
      <c r="AO4" s="18">
        <f t="shared" si="15"/>
        <v>9</v>
      </c>
      <c r="AP4" s="18">
        <f t="shared" si="15"/>
        <v>9</v>
      </c>
      <c r="AQ4" s="18">
        <f t="shared" si="15"/>
        <v>9</v>
      </c>
      <c r="AR4" s="18">
        <f t="shared" si="15"/>
        <v>9</v>
      </c>
      <c r="AS4" s="18">
        <f t="shared" si="15"/>
        <v>9</v>
      </c>
      <c r="AT4" s="18">
        <f t="shared" si="15"/>
        <v>9</v>
      </c>
      <c r="AU4" s="18">
        <f t="shared" si="15"/>
        <v>9</v>
      </c>
      <c r="AV4" s="18">
        <f t="shared" si="15"/>
        <v>9</v>
      </c>
      <c r="AW4" s="18">
        <f t="shared" si="15"/>
        <v>9</v>
      </c>
      <c r="AX4" s="18">
        <f t="shared" si="15"/>
        <v>9</v>
      </c>
      <c r="AY4" s="18">
        <f t="shared" si="15"/>
        <v>9</v>
      </c>
      <c r="AZ4" s="18">
        <f t="shared" si="15"/>
        <v>9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2</v>
      </c>
      <c r="H5" s="18">
        <f t="shared" si="19"/>
        <v>2</v>
      </c>
      <c r="I5" s="18">
        <f t="shared" si="19"/>
        <v>2</v>
      </c>
      <c r="J5" s="18">
        <f t="shared" si="19"/>
        <v>2</v>
      </c>
      <c r="K5" s="18">
        <f t="shared" si="19"/>
        <v>2</v>
      </c>
      <c r="L5" s="18">
        <f t="shared" si="19"/>
        <v>2</v>
      </c>
      <c r="M5" s="18">
        <f t="shared" si="19"/>
        <v>2</v>
      </c>
      <c r="N5" s="18">
        <f t="shared" si="19"/>
        <v>2</v>
      </c>
      <c r="O5" s="18">
        <f t="shared" si="19"/>
        <v>2</v>
      </c>
      <c r="P5" s="18">
        <f t="shared" si="19"/>
        <v>2</v>
      </c>
      <c r="Q5" s="18">
        <f t="shared" si="19"/>
        <v>2</v>
      </c>
      <c r="R5" s="18">
        <f t="shared" si="19"/>
        <v>2</v>
      </c>
      <c r="S5" s="18">
        <f t="shared" si="19"/>
        <v>2</v>
      </c>
      <c r="T5" s="18">
        <f t="shared" si="19"/>
        <v>2</v>
      </c>
      <c r="U5" s="18">
        <f t="shared" si="19"/>
        <v>2</v>
      </c>
      <c r="V5" s="18">
        <f t="shared" si="19"/>
        <v>2</v>
      </c>
      <c r="W5" s="18">
        <f t="shared" si="19"/>
        <v>2</v>
      </c>
      <c r="X5" s="18">
        <f t="shared" si="19"/>
        <v>2</v>
      </c>
      <c r="Y5" s="18">
        <f t="shared" si="19"/>
        <v>2</v>
      </c>
      <c r="Z5" s="18">
        <f t="shared" si="19"/>
        <v>2</v>
      </c>
      <c r="AA5" s="18">
        <f t="shared" si="19"/>
        <v>2</v>
      </c>
      <c r="AB5" s="18">
        <f t="shared" si="19"/>
        <v>2</v>
      </c>
      <c r="AC5" s="18">
        <f t="shared" si="19"/>
        <v>2</v>
      </c>
      <c r="AD5" s="18">
        <f t="shared" si="19"/>
        <v>2</v>
      </c>
      <c r="AE5" s="18">
        <f t="shared" si="19"/>
        <v>2</v>
      </c>
      <c r="AF5" s="18">
        <f t="shared" si="19"/>
        <v>2</v>
      </c>
      <c r="AG5" s="18">
        <f t="shared" si="19"/>
        <v>2</v>
      </c>
      <c r="AH5" s="18">
        <f t="shared" si="19"/>
        <v>2</v>
      </c>
      <c r="AI5" s="18">
        <f t="shared" si="19"/>
        <v>2</v>
      </c>
      <c r="AJ5" s="18">
        <f t="shared" si="19"/>
        <v>2</v>
      </c>
      <c r="AK5" s="18">
        <f t="shared" si="19"/>
        <v>2</v>
      </c>
      <c r="AL5" s="18">
        <f t="shared" si="19"/>
        <v>2</v>
      </c>
      <c r="AM5" s="18">
        <f t="shared" ref="AM5:BS5" si="20">COUNTIFS(AM$19:AM$75,"=1",$C$19:$C$75,"A",$D$19:$D$75,"5.2",$E$19:$E$75,"Expansión",$F$19:$F$75,"Cerro")</f>
        <v>2</v>
      </c>
      <c r="AN5" s="18">
        <f t="shared" si="20"/>
        <v>2</v>
      </c>
      <c r="AO5" s="18">
        <f t="shared" si="20"/>
        <v>2</v>
      </c>
      <c r="AP5" s="18">
        <f t="shared" si="20"/>
        <v>2</v>
      </c>
      <c r="AQ5" s="18">
        <f t="shared" si="20"/>
        <v>2</v>
      </c>
      <c r="AR5" s="18">
        <f t="shared" si="20"/>
        <v>2</v>
      </c>
      <c r="AS5" s="18">
        <f t="shared" si="20"/>
        <v>2</v>
      </c>
      <c r="AT5" s="18">
        <f t="shared" si="20"/>
        <v>2</v>
      </c>
      <c r="AU5" s="18">
        <f t="shared" si="20"/>
        <v>2</v>
      </c>
      <c r="AV5" s="18">
        <f t="shared" si="20"/>
        <v>2</v>
      </c>
      <c r="AW5" s="18">
        <f t="shared" si="20"/>
        <v>2</v>
      </c>
      <c r="AX5" s="18">
        <f t="shared" si="20"/>
        <v>2</v>
      </c>
      <c r="AY5" s="18">
        <f t="shared" si="20"/>
        <v>2</v>
      </c>
      <c r="AZ5" s="18">
        <f t="shared" si="20"/>
        <v>2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0</v>
      </c>
      <c r="H7" s="18">
        <f t="shared" ref="H7:BS7" si="28">COUNTIFS(H$19:H$75,"=1",$C$19:$C$75,"A",$D$19:$D$75,"5.2",$E$19:$E$75,"Expansión",$F$19:$F$75,"Mar")</f>
        <v>0</v>
      </c>
      <c r="I7" s="18">
        <f t="shared" si="28"/>
        <v>0</v>
      </c>
      <c r="J7" s="18">
        <f t="shared" si="28"/>
        <v>0</v>
      </c>
      <c r="K7" s="18">
        <f t="shared" si="28"/>
        <v>0</v>
      </c>
      <c r="L7" s="18">
        <f t="shared" si="28"/>
        <v>0</v>
      </c>
      <c r="M7" s="18">
        <f t="shared" si="28"/>
        <v>0</v>
      </c>
      <c r="N7" s="18">
        <f t="shared" si="28"/>
        <v>0</v>
      </c>
      <c r="O7" s="18">
        <f t="shared" si="28"/>
        <v>0</v>
      </c>
      <c r="P7" s="18">
        <f t="shared" si="28"/>
        <v>0</v>
      </c>
      <c r="Q7" s="18">
        <f t="shared" si="28"/>
        <v>0</v>
      </c>
      <c r="R7" s="18">
        <f t="shared" si="28"/>
        <v>0</v>
      </c>
      <c r="S7" s="18">
        <f t="shared" si="28"/>
        <v>0</v>
      </c>
      <c r="T7" s="18">
        <f t="shared" si="28"/>
        <v>0</v>
      </c>
      <c r="U7" s="18">
        <f t="shared" si="28"/>
        <v>0</v>
      </c>
      <c r="V7" s="18">
        <f t="shared" si="28"/>
        <v>0</v>
      </c>
      <c r="W7" s="18">
        <f t="shared" si="28"/>
        <v>0</v>
      </c>
      <c r="X7" s="18">
        <f t="shared" si="28"/>
        <v>0</v>
      </c>
      <c r="Y7" s="18">
        <f t="shared" si="28"/>
        <v>0</v>
      </c>
      <c r="Z7" s="18">
        <f t="shared" si="28"/>
        <v>0</v>
      </c>
      <c r="AA7" s="18">
        <f t="shared" si="28"/>
        <v>0</v>
      </c>
      <c r="AB7" s="18">
        <f t="shared" si="28"/>
        <v>0</v>
      </c>
      <c r="AC7" s="18">
        <f t="shared" si="28"/>
        <v>0</v>
      </c>
      <c r="AD7" s="18">
        <f t="shared" si="28"/>
        <v>0</v>
      </c>
      <c r="AE7" s="18">
        <f t="shared" si="28"/>
        <v>0</v>
      </c>
      <c r="AF7" s="18">
        <f t="shared" si="28"/>
        <v>0</v>
      </c>
      <c r="AG7" s="18">
        <f t="shared" si="28"/>
        <v>0</v>
      </c>
      <c r="AH7" s="18">
        <f t="shared" si="28"/>
        <v>0</v>
      </c>
      <c r="AI7" s="18">
        <f t="shared" si="28"/>
        <v>0</v>
      </c>
      <c r="AJ7" s="18">
        <f t="shared" si="28"/>
        <v>0</v>
      </c>
      <c r="AK7" s="18">
        <f t="shared" si="28"/>
        <v>0</v>
      </c>
      <c r="AL7" s="18">
        <f t="shared" si="28"/>
        <v>0</v>
      </c>
      <c r="AM7" s="18">
        <f t="shared" si="28"/>
        <v>0</v>
      </c>
      <c r="AN7" s="18">
        <f t="shared" si="28"/>
        <v>0</v>
      </c>
      <c r="AO7" s="18">
        <f t="shared" si="28"/>
        <v>0</v>
      </c>
      <c r="AP7" s="18">
        <f t="shared" si="28"/>
        <v>0</v>
      </c>
      <c r="AQ7" s="18">
        <f t="shared" si="28"/>
        <v>0</v>
      </c>
      <c r="AR7" s="18">
        <f t="shared" si="28"/>
        <v>0</v>
      </c>
      <c r="AS7" s="18">
        <f t="shared" si="28"/>
        <v>0</v>
      </c>
      <c r="AT7" s="18">
        <f t="shared" si="28"/>
        <v>0</v>
      </c>
      <c r="AU7" s="18">
        <f t="shared" si="28"/>
        <v>0</v>
      </c>
      <c r="AV7" s="18">
        <f t="shared" si="28"/>
        <v>0</v>
      </c>
      <c r="AW7" s="18">
        <f t="shared" si="28"/>
        <v>0</v>
      </c>
      <c r="AX7" s="18">
        <f t="shared" si="28"/>
        <v>0</v>
      </c>
      <c r="AY7" s="18">
        <f t="shared" si="28"/>
        <v>0</v>
      </c>
      <c r="AZ7" s="18">
        <f t="shared" si="28"/>
        <v>0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3</v>
      </c>
      <c r="H9" s="18">
        <f t="shared" ref="H9:BS9" si="36">COUNTIFS(H$19:H$75,"=1",$C$19:$C$75,"B",$D$19:$D$75,"5.2",$E$19:$E$75,"Lomitas",$F$19:$F$75,"Medio")</f>
        <v>3</v>
      </c>
      <c r="I9" s="18">
        <f t="shared" si="36"/>
        <v>3</v>
      </c>
      <c r="J9" s="18">
        <f t="shared" si="36"/>
        <v>3</v>
      </c>
      <c r="K9" s="18">
        <f t="shared" si="36"/>
        <v>3</v>
      </c>
      <c r="L9" s="18">
        <f t="shared" si="36"/>
        <v>3</v>
      </c>
      <c r="M9" s="18">
        <f t="shared" si="36"/>
        <v>3</v>
      </c>
      <c r="N9" s="18">
        <f t="shared" si="36"/>
        <v>3</v>
      </c>
      <c r="O9" s="18">
        <f t="shared" si="36"/>
        <v>3</v>
      </c>
      <c r="P9" s="18">
        <f t="shared" si="36"/>
        <v>3</v>
      </c>
      <c r="Q9" s="18">
        <f t="shared" si="36"/>
        <v>3</v>
      </c>
      <c r="R9" s="18">
        <f t="shared" si="36"/>
        <v>3</v>
      </c>
      <c r="S9" s="18">
        <f t="shared" si="36"/>
        <v>3</v>
      </c>
      <c r="T9" s="18">
        <f t="shared" si="36"/>
        <v>3</v>
      </c>
      <c r="U9" s="18">
        <f t="shared" si="36"/>
        <v>3</v>
      </c>
      <c r="V9" s="18">
        <f t="shared" si="36"/>
        <v>3</v>
      </c>
      <c r="W9" s="18">
        <f t="shared" si="36"/>
        <v>3</v>
      </c>
      <c r="X9" s="18">
        <f t="shared" si="36"/>
        <v>3</v>
      </c>
      <c r="Y9" s="18">
        <f t="shared" si="36"/>
        <v>3</v>
      </c>
      <c r="Z9" s="18">
        <f t="shared" si="36"/>
        <v>3</v>
      </c>
      <c r="AA9" s="18">
        <f t="shared" si="36"/>
        <v>3</v>
      </c>
      <c r="AB9" s="18">
        <f t="shared" si="36"/>
        <v>3</v>
      </c>
      <c r="AC9" s="18">
        <f t="shared" si="36"/>
        <v>3</v>
      </c>
      <c r="AD9" s="18">
        <f t="shared" si="36"/>
        <v>3</v>
      </c>
      <c r="AE9" s="18">
        <f t="shared" si="36"/>
        <v>3</v>
      </c>
      <c r="AF9" s="18">
        <f t="shared" si="36"/>
        <v>3</v>
      </c>
      <c r="AG9" s="18">
        <f t="shared" si="36"/>
        <v>3</v>
      </c>
      <c r="AH9" s="18">
        <f t="shared" si="36"/>
        <v>3</v>
      </c>
      <c r="AI9" s="18">
        <f t="shared" si="36"/>
        <v>3</v>
      </c>
      <c r="AJ9" s="18">
        <f t="shared" si="36"/>
        <v>3</v>
      </c>
      <c r="AK9" s="18">
        <f t="shared" si="36"/>
        <v>3</v>
      </c>
      <c r="AL9" s="18">
        <f t="shared" si="36"/>
        <v>3</v>
      </c>
      <c r="AM9" s="18">
        <f t="shared" si="36"/>
        <v>3</v>
      </c>
      <c r="AN9" s="18">
        <f t="shared" si="36"/>
        <v>3</v>
      </c>
      <c r="AO9" s="18">
        <f t="shared" si="36"/>
        <v>3</v>
      </c>
      <c r="AP9" s="18">
        <f t="shared" si="36"/>
        <v>3</v>
      </c>
      <c r="AQ9" s="18">
        <f t="shared" si="36"/>
        <v>3</v>
      </c>
      <c r="AR9" s="18">
        <f t="shared" si="36"/>
        <v>3</v>
      </c>
      <c r="AS9" s="18">
        <f t="shared" si="36"/>
        <v>3</v>
      </c>
      <c r="AT9" s="18">
        <f t="shared" si="36"/>
        <v>3</v>
      </c>
      <c r="AU9" s="18">
        <f t="shared" si="36"/>
        <v>3</v>
      </c>
      <c r="AV9" s="18">
        <f t="shared" si="36"/>
        <v>3</v>
      </c>
      <c r="AW9" s="18">
        <f t="shared" si="36"/>
        <v>3</v>
      </c>
      <c r="AX9" s="18">
        <f t="shared" si="36"/>
        <v>3</v>
      </c>
      <c r="AY9" s="18">
        <f t="shared" si="36"/>
        <v>3</v>
      </c>
      <c r="AZ9" s="18">
        <f t="shared" si="36"/>
        <v>3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10</v>
      </c>
      <c r="H10" s="18">
        <f t="shared" ref="H10:BS10" si="40">COUNTIFS(H$19:H$75,"=1",$C$19:$C$75,"B",$D$19:$D$75,"5.2",$E$19:$E$75,"Lomitas",$F$19:$F$75,"Mar")</f>
        <v>10</v>
      </c>
      <c r="I10" s="18">
        <f t="shared" si="40"/>
        <v>10</v>
      </c>
      <c r="J10" s="18">
        <f t="shared" si="40"/>
        <v>10</v>
      </c>
      <c r="K10" s="18">
        <f t="shared" si="40"/>
        <v>10</v>
      </c>
      <c r="L10" s="18">
        <f t="shared" si="40"/>
        <v>10</v>
      </c>
      <c r="M10" s="18">
        <f t="shared" si="40"/>
        <v>10</v>
      </c>
      <c r="N10" s="18">
        <f t="shared" si="40"/>
        <v>10</v>
      </c>
      <c r="O10" s="18">
        <f t="shared" si="40"/>
        <v>10</v>
      </c>
      <c r="P10" s="18">
        <f t="shared" si="40"/>
        <v>10</v>
      </c>
      <c r="Q10" s="18">
        <f t="shared" si="40"/>
        <v>10</v>
      </c>
      <c r="R10" s="18">
        <f t="shared" si="40"/>
        <v>10</v>
      </c>
      <c r="S10" s="18">
        <f t="shared" si="40"/>
        <v>10</v>
      </c>
      <c r="T10" s="18">
        <f t="shared" si="40"/>
        <v>10</v>
      </c>
      <c r="U10" s="18">
        <f t="shared" si="40"/>
        <v>10</v>
      </c>
      <c r="V10" s="18">
        <f t="shared" si="40"/>
        <v>10</v>
      </c>
      <c r="W10" s="18">
        <f t="shared" si="40"/>
        <v>10</v>
      </c>
      <c r="X10" s="18">
        <f t="shared" si="40"/>
        <v>10</v>
      </c>
      <c r="Y10" s="18">
        <f t="shared" si="40"/>
        <v>10</v>
      </c>
      <c r="Z10" s="18">
        <f t="shared" si="40"/>
        <v>10</v>
      </c>
      <c r="AA10" s="18">
        <f t="shared" si="40"/>
        <v>10</v>
      </c>
      <c r="AB10" s="18">
        <f t="shared" si="40"/>
        <v>10</v>
      </c>
      <c r="AC10" s="18">
        <f t="shared" si="40"/>
        <v>10</v>
      </c>
      <c r="AD10" s="18">
        <f t="shared" si="40"/>
        <v>10</v>
      </c>
      <c r="AE10" s="18">
        <f t="shared" si="40"/>
        <v>10</v>
      </c>
      <c r="AF10" s="18">
        <f t="shared" si="40"/>
        <v>10</v>
      </c>
      <c r="AG10" s="18">
        <f t="shared" si="40"/>
        <v>10</v>
      </c>
      <c r="AH10" s="18">
        <f t="shared" si="40"/>
        <v>10</v>
      </c>
      <c r="AI10" s="18">
        <f t="shared" si="40"/>
        <v>10</v>
      </c>
      <c r="AJ10" s="18">
        <f t="shared" si="40"/>
        <v>10</v>
      </c>
      <c r="AK10" s="18">
        <f t="shared" si="40"/>
        <v>10</v>
      </c>
      <c r="AL10" s="18">
        <f t="shared" si="40"/>
        <v>10</v>
      </c>
      <c r="AM10" s="18">
        <f t="shared" si="40"/>
        <v>10</v>
      </c>
      <c r="AN10" s="18">
        <f t="shared" si="40"/>
        <v>10</v>
      </c>
      <c r="AO10" s="18">
        <f t="shared" si="40"/>
        <v>10</v>
      </c>
      <c r="AP10" s="18">
        <f t="shared" si="40"/>
        <v>10</v>
      </c>
      <c r="AQ10" s="18">
        <f t="shared" si="40"/>
        <v>10</v>
      </c>
      <c r="AR10" s="18">
        <f t="shared" si="40"/>
        <v>10</v>
      </c>
      <c r="AS10" s="18">
        <f t="shared" si="40"/>
        <v>10</v>
      </c>
      <c r="AT10" s="18">
        <f t="shared" si="40"/>
        <v>10</v>
      </c>
      <c r="AU10" s="18">
        <f t="shared" si="40"/>
        <v>10</v>
      </c>
      <c r="AV10" s="18">
        <f t="shared" si="40"/>
        <v>10</v>
      </c>
      <c r="AW10" s="18">
        <f t="shared" si="40"/>
        <v>10</v>
      </c>
      <c r="AX10" s="18">
        <f t="shared" si="40"/>
        <v>10</v>
      </c>
      <c r="AY10" s="18">
        <f t="shared" si="40"/>
        <v>10</v>
      </c>
      <c r="AZ10" s="18">
        <f t="shared" si="40"/>
        <v>10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0</v>
      </c>
      <c r="H11" s="18">
        <f t="shared" ref="H11:BS11" si="44">COUNTIFS(H$19:H$75,"=1",$C$19:$C$75,"B",$D$19:$D$75,"5.0",$E$19:$E$75,"Lomitas",$F$19:$F$75,"Cerro")</f>
        <v>0</v>
      </c>
      <c r="I11" s="18">
        <f t="shared" si="44"/>
        <v>0</v>
      </c>
      <c r="J11" s="18">
        <f t="shared" si="44"/>
        <v>0</v>
      </c>
      <c r="K11" s="18">
        <f t="shared" si="44"/>
        <v>0</v>
      </c>
      <c r="L11" s="18">
        <f t="shared" si="44"/>
        <v>0</v>
      </c>
      <c r="M11" s="18">
        <f t="shared" si="44"/>
        <v>0</v>
      </c>
      <c r="N11" s="18">
        <f t="shared" si="44"/>
        <v>0</v>
      </c>
      <c r="O11" s="18">
        <f t="shared" si="44"/>
        <v>0</v>
      </c>
      <c r="P11" s="18">
        <f t="shared" si="44"/>
        <v>0</v>
      </c>
      <c r="Q11" s="18">
        <f t="shared" si="44"/>
        <v>0</v>
      </c>
      <c r="R11" s="18">
        <f t="shared" si="44"/>
        <v>0</v>
      </c>
      <c r="S11" s="18">
        <f t="shared" si="44"/>
        <v>0</v>
      </c>
      <c r="T11" s="18">
        <f t="shared" si="44"/>
        <v>0</v>
      </c>
      <c r="U11" s="18">
        <f t="shared" si="44"/>
        <v>0</v>
      </c>
      <c r="V11" s="18">
        <f t="shared" si="44"/>
        <v>0</v>
      </c>
      <c r="W11" s="18">
        <f t="shared" si="44"/>
        <v>0</v>
      </c>
      <c r="X11" s="18">
        <f t="shared" si="44"/>
        <v>0</v>
      </c>
      <c r="Y11" s="18">
        <f t="shared" si="44"/>
        <v>0</v>
      </c>
      <c r="Z11" s="18">
        <f t="shared" si="44"/>
        <v>0</v>
      </c>
      <c r="AA11" s="18">
        <f t="shared" si="44"/>
        <v>0</v>
      </c>
      <c r="AB11" s="18">
        <f t="shared" si="44"/>
        <v>0</v>
      </c>
      <c r="AC11" s="18">
        <f t="shared" si="44"/>
        <v>0</v>
      </c>
      <c r="AD11" s="18">
        <f t="shared" si="44"/>
        <v>0</v>
      </c>
      <c r="AE11" s="18">
        <f t="shared" si="44"/>
        <v>0</v>
      </c>
      <c r="AF11" s="18">
        <f t="shared" si="44"/>
        <v>0</v>
      </c>
      <c r="AG11" s="18">
        <f t="shared" si="44"/>
        <v>0</v>
      </c>
      <c r="AH11" s="18">
        <f t="shared" si="44"/>
        <v>0</v>
      </c>
      <c r="AI11" s="18">
        <f t="shared" si="44"/>
        <v>0</v>
      </c>
      <c r="AJ11" s="18">
        <f t="shared" si="44"/>
        <v>0</v>
      </c>
      <c r="AK11" s="18">
        <f t="shared" si="44"/>
        <v>0</v>
      </c>
      <c r="AL11" s="18">
        <f t="shared" si="44"/>
        <v>0</v>
      </c>
      <c r="AM11" s="18">
        <f t="shared" si="44"/>
        <v>0</v>
      </c>
      <c r="AN11" s="18">
        <f t="shared" si="44"/>
        <v>0</v>
      </c>
      <c r="AO11" s="18">
        <f t="shared" si="44"/>
        <v>0</v>
      </c>
      <c r="AP11" s="18">
        <f t="shared" si="44"/>
        <v>0</v>
      </c>
      <c r="AQ11" s="18">
        <f t="shared" si="44"/>
        <v>0</v>
      </c>
      <c r="AR11" s="18">
        <f t="shared" si="44"/>
        <v>0</v>
      </c>
      <c r="AS11" s="18">
        <f t="shared" si="44"/>
        <v>0</v>
      </c>
      <c r="AT11" s="18">
        <f t="shared" si="44"/>
        <v>0</v>
      </c>
      <c r="AU11" s="18">
        <f t="shared" si="44"/>
        <v>0</v>
      </c>
      <c r="AV11" s="18">
        <f t="shared" si="44"/>
        <v>0</v>
      </c>
      <c r="AW11" s="18">
        <f t="shared" si="44"/>
        <v>0</v>
      </c>
      <c r="AX11" s="18">
        <f t="shared" si="44"/>
        <v>0</v>
      </c>
      <c r="AY11" s="18">
        <f t="shared" si="44"/>
        <v>0</v>
      </c>
      <c r="AZ11" s="18">
        <f t="shared" si="44"/>
        <v>0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5</v>
      </c>
      <c r="H12" s="18">
        <f t="shared" ref="H12:BS12" si="48">COUNTIFS(H$19:H$75,"=1",$C$19:$C$75,"B",$D$19:$D$75,"5.0",$E$19:$E$75,"Lomitas",$F$19:$F$75,"Mar")</f>
        <v>5</v>
      </c>
      <c r="I12" s="18">
        <f t="shared" si="48"/>
        <v>5</v>
      </c>
      <c r="J12" s="18">
        <f t="shared" si="48"/>
        <v>5</v>
      </c>
      <c r="K12" s="18">
        <f t="shared" si="48"/>
        <v>5</v>
      </c>
      <c r="L12" s="18">
        <f t="shared" si="48"/>
        <v>5</v>
      </c>
      <c r="M12" s="18">
        <f t="shared" si="48"/>
        <v>5</v>
      </c>
      <c r="N12" s="18">
        <f t="shared" si="48"/>
        <v>5</v>
      </c>
      <c r="O12" s="18">
        <f t="shared" si="48"/>
        <v>5</v>
      </c>
      <c r="P12" s="18">
        <f t="shared" si="48"/>
        <v>5</v>
      </c>
      <c r="Q12" s="18">
        <f t="shared" si="48"/>
        <v>5</v>
      </c>
      <c r="R12" s="18">
        <f t="shared" si="48"/>
        <v>5</v>
      </c>
      <c r="S12" s="18">
        <f t="shared" si="48"/>
        <v>5</v>
      </c>
      <c r="T12" s="18">
        <f t="shared" si="48"/>
        <v>5</v>
      </c>
      <c r="U12" s="18">
        <f t="shared" si="48"/>
        <v>5</v>
      </c>
      <c r="V12" s="18">
        <f t="shared" si="48"/>
        <v>5</v>
      </c>
      <c r="W12" s="18">
        <f t="shared" si="48"/>
        <v>5</v>
      </c>
      <c r="X12" s="18">
        <f t="shared" si="48"/>
        <v>5</v>
      </c>
      <c r="Y12" s="18">
        <f t="shared" si="48"/>
        <v>5</v>
      </c>
      <c r="Z12" s="18">
        <f t="shared" si="48"/>
        <v>5</v>
      </c>
      <c r="AA12" s="18">
        <f t="shared" si="48"/>
        <v>5</v>
      </c>
      <c r="AB12" s="18">
        <f t="shared" si="48"/>
        <v>5</v>
      </c>
      <c r="AC12" s="18">
        <f t="shared" si="48"/>
        <v>5</v>
      </c>
      <c r="AD12" s="18">
        <f t="shared" si="48"/>
        <v>5</v>
      </c>
      <c r="AE12" s="18">
        <f t="shared" si="48"/>
        <v>5</v>
      </c>
      <c r="AF12" s="18">
        <f t="shared" si="48"/>
        <v>5</v>
      </c>
      <c r="AG12" s="18">
        <f t="shared" si="48"/>
        <v>5</v>
      </c>
      <c r="AH12" s="18">
        <f t="shared" si="48"/>
        <v>5</v>
      </c>
      <c r="AI12" s="18">
        <f t="shared" si="48"/>
        <v>5</v>
      </c>
      <c r="AJ12" s="18">
        <f t="shared" si="48"/>
        <v>5</v>
      </c>
      <c r="AK12" s="18">
        <f t="shared" si="48"/>
        <v>5</v>
      </c>
      <c r="AL12" s="18">
        <f t="shared" si="48"/>
        <v>5</v>
      </c>
      <c r="AM12" s="18">
        <f t="shared" si="48"/>
        <v>5</v>
      </c>
      <c r="AN12" s="18">
        <f t="shared" si="48"/>
        <v>5</v>
      </c>
      <c r="AO12" s="18">
        <f t="shared" si="48"/>
        <v>5</v>
      </c>
      <c r="AP12" s="18">
        <f t="shared" si="48"/>
        <v>5</v>
      </c>
      <c r="AQ12" s="18">
        <f t="shared" si="48"/>
        <v>5</v>
      </c>
      <c r="AR12" s="18">
        <f t="shared" si="48"/>
        <v>5</v>
      </c>
      <c r="AS12" s="18">
        <f t="shared" si="48"/>
        <v>5</v>
      </c>
      <c r="AT12" s="18">
        <f t="shared" si="48"/>
        <v>5</v>
      </c>
      <c r="AU12" s="18">
        <f t="shared" si="48"/>
        <v>5</v>
      </c>
      <c r="AV12" s="18">
        <f t="shared" si="48"/>
        <v>5</v>
      </c>
      <c r="AW12" s="18">
        <f t="shared" si="48"/>
        <v>5</v>
      </c>
      <c r="AX12" s="18">
        <f t="shared" si="48"/>
        <v>5</v>
      </c>
      <c r="AY12" s="18">
        <f t="shared" si="48"/>
        <v>5</v>
      </c>
      <c r="AZ12" s="18">
        <f t="shared" si="48"/>
        <v>5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3</v>
      </c>
      <c r="H13" s="18">
        <f t="shared" ref="H13:BS13" si="52">COUNTIFS(H$19:H$75,"=1",$C$19:$C$75,"B",$D$19:$D$75,"5.2",$E$19:$E$75,"Expansión",$F$19:$F$75,"Cerro")</f>
        <v>3</v>
      </c>
      <c r="I13" s="18">
        <f t="shared" si="52"/>
        <v>3</v>
      </c>
      <c r="J13" s="18">
        <f t="shared" si="52"/>
        <v>3</v>
      </c>
      <c r="K13" s="18">
        <f t="shared" si="52"/>
        <v>3</v>
      </c>
      <c r="L13" s="18">
        <f t="shared" si="52"/>
        <v>3</v>
      </c>
      <c r="M13" s="18">
        <f t="shared" si="52"/>
        <v>3</v>
      </c>
      <c r="N13" s="18">
        <f t="shared" si="52"/>
        <v>3</v>
      </c>
      <c r="O13" s="18">
        <f t="shared" si="52"/>
        <v>3</v>
      </c>
      <c r="P13" s="18">
        <f t="shared" si="52"/>
        <v>3</v>
      </c>
      <c r="Q13" s="18">
        <f t="shared" si="52"/>
        <v>3</v>
      </c>
      <c r="R13" s="18">
        <f t="shared" si="52"/>
        <v>3</v>
      </c>
      <c r="S13" s="18">
        <f t="shared" si="52"/>
        <v>3</v>
      </c>
      <c r="T13" s="18">
        <f t="shared" si="52"/>
        <v>3</v>
      </c>
      <c r="U13" s="18">
        <f t="shared" si="52"/>
        <v>3</v>
      </c>
      <c r="V13" s="18">
        <f t="shared" si="52"/>
        <v>3</v>
      </c>
      <c r="W13" s="18">
        <f t="shared" si="52"/>
        <v>3</v>
      </c>
      <c r="X13" s="18">
        <f t="shared" si="52"/>
        <v>3</v>
      </c>
      <c r="Y13" s="18">
        <f t="shared" si="52"/>
        <v>3</v>
      </c>
      <c r="Z13" s="18">
        <f t="shared" si="52"/>
        <v>3</v>
      </c>
      <c r="AA13" s="18">
        <f t="shared" si="52"/>
        <v>3</v>
      </c>
      <c r="AB13" s="18">
        <f t="shared" si="52"/>
        <v>3</v>
      </c>
      <c r="AC13" s="18">
        <f t="shared" si="52"/>
        <v>3</v>
      </c>
      <c r="AD13" s="18">
        <f t="shared" si="52"/>
        <v>3</v>
      </c>
      <c r="AE13" s="18">
        <f t="shared" si="52"/>
        <v>3</v>
      </c>
      <c r="AF13" s="18">
        <f t="shared" si="52"/>
        <v>3</v>
      </c>
      <c r="AG13" s="18">
        <f t="shared" si="52"/>
        <v>3</v>
      </c>
      <c r="AH13" s="18">
        <f t="shared" si="52"/>
        <v>3</v>
      </c>
      <c r="AI13" s="18">
        <f t="shared" si="52"/>
        <v>3</v>
      </c>
      <c r="AJ13" s="18">
        <f t="shared" si="52"/>
        <v>3</v>
      </c>
      <c r="AK13" s="18">
        <f t="shared" si="52"/>
        <v>3</v>
      </c>
      <c r="AL13" s="18">
        <f t="shared" si="52"/>
        <v>3</v>
      </c>
      <c r="AM13" s="18">
        <f t="shared" si="52"/>
        <v>3</v>
      </c>
      <c r="AN13" s="18">
        <f t="shared" si="52"/>
        <v>3</v>
      </c>
      <c r="AO13" s="18">
        <f t="shared" si="52"/>
        <v>3</v>
      </c>
      <c r="AP13" s="18">
        <f t="shared" si="52"/>
        <v>3</v>
      </c>
      <c r="AQ13" s="18">
        <f t="shared" si="52"/>
        <v>3</v>
      </c>
      <c r="AR13" s="18">
        <f t="shared" si="52"/>
        <v>3</v>
      </c>
      <c r="AS13" s="18">
        <f t="shared" si="52"/>
        <v>3</v>
      </c>
      <c r="AT13" s="18">
        <f t="shared" si="52"/>
        <v>3</v>
      </c>
      <c r="AU13" s="18">
        <f t="shared" si="52"/>
        <v>3</v>
      </c>
      <c r="AV13" s="18">
        <f t="shared" si="52"/>
        <v>3</v>
      </c>
      <c r="AW13" s="18">
        <f t="shared" si="52"/>
        <v>3</v>
      </c>
      <c r="AX13" s="18">
        <f t="shared" si="52"/>
        <v>3</v>
      </c>
      <c r="AY13" s="18">
        <f t="shared" si="52"/>
        <v>3</v>
      </c>
      <c r="AZ13" s="18">
        <f t="shared" si="52"/>
        <v>3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"/>
    <row r="15" spans="1:232" hidden="1" x14ac:dyDescent="0.2"/>
    <row r="17" spans="1:232" ht="78.599999999999994" customHeight="1" x14ac:dyDescent="0.2">
      <c r="B17" s="137" t="s">
        <v>203</v>
      </c>
      <c r="C17" s="137"/>
      <c r="D17" s="137"/>
      <c r="E17" s="137"/>
      <c r="F17" s="137"/>
      <c r="G17" s="105">
        <f t="shared" ref="G17:BR17" si="56">G1</f>
        <v>45444.083333333336</v>
      </c>
      <c r="H17" s="105">
        <f t="shared" si="56"/>
        <v>45444.125</v>
      </c>
      <c r="I17" s="105">
        <f t="shared" si="56"/>
        <v>45444.166666666664</v>
      </c>
      <c r="J17" s="105">
        <f t="shared" si="56"/>
        <v>45444.208333333328</v>
      </c>
      <c r="K17" s="105">
        <f t="shared" si="56"/>
        <v>45444.249999999993</v>
      </c>
      <c r="L17" s="105">
        <f t="shared" si="56"/>
        <v>45444.291666666657</v>
      </c>
      <c r="M17" s="105">
        <f t="shared" si="56"/>
        <v>45444.333333333321</v>
      </c>
      <c r="N17" s="105">
        <f t="shared" si="56"/>
        <v>45444.374999999985</v>
      </c>
      <c r="O17" s="105">
        <f t="shared" si="56"/>
        <v>45444.41666666665</v>
      </c>
      <c r="P17" s="105">
        <f t="shared" si="56"/>
        <v>45444.458333333314</v>
      </c>
      <c r="Q17" s="105">
        <f t="shared" si="56"/>
        <v>45444.499999999978</v>
      </c>
      <c r="R17" s="105">
        <f t="shared" si="56"/>
        <v>45444.541666666642</v>
      </c>
      <c r="S17" s="105">
        <f t="shared" si="56"/>
        <v>45444.583333333307</v>
      </c>
      <c r="T17" s="105">
        <f t="shared" si="56"/>
        <v>45444.624999999971</v>
      </c>
      <c r="U17" s="105">
        <f t="shared" si="56"/>
        <v>45444.666666666635</v>
      </c>
      <c r="V17" s="105">
        <f t="shared" si="56"/>
        <v>45444.708333333299</v>
      </c>
      <c r="W17" s="105">
        <f t="shared" si="56"/>
        <v>45444.749999999964</v>
      </c>
      <c r="X17" s="105">
        <f t="shared" si="56"/>
        <v>45444.791666666628</v>
      </c>
      <c r="Y17" s="105">
        <f t="shared" si="56"/>
        <v>45444.833333333292</v>
      </c>
      <c r="Z17" s="105">
        <f t="shared" si="56"/>
        <v>45444.874999999956</v>
      </c>
      <c r="AA17" s="105">
        <f t="shared" si="56"/>
        <v>45444.916666666621</v>
      </c>
      <c r="AB17" s="105">
        <f t="shared" si="56"/>
        <v>45444.958333333285</v>
      </c>
      <c r="AC17" s="105">
        <f t="shared" si="56"/>
        <v>45444.999999999949</v>
      </c>
      <c r="AD17" s="105">
        <f t="shared" si="56"/>
        <v>45445.041666666613</v>
      </c>
      <c r="AE17" s="105">
        <f t="shared" si="56"/>
        <v>45445.083333333278</v>
      </c>
      <c r="AF17" s="105">
        <f t="shared" si="56"/>
        <v>45445.124999999942</v>
      </c>
      <c r="AG17" s="105">
        <f t="shared" si="56"/>
        <v>45445.166666666606</v>
      </c>
      <c r="AH17" s="105">
        <f t="shared" si="56"/>
        <v>45445.20833333327</v>
      </c>
      <c r="AI17" s="105">
        <f t="shared" si="56"/>
        <v>45445.249999999935</v>
      </c>
      <c r="AJ17" s="105">
        <f t="shared" si="56"/>
        <v>45445.291666666599</v>
      </c>
      <c r="AK17" s="105">
        <f t="shared" si="56"/>
        <v>45445.333333333263</v>
      </c>
      <c r="AL17" s="105">
        <f t="shared" si="56"/>
        <v>45445.374999999927</v>
      </c>
      <c r="AM17" s="105">
        <f t="shared" si="56"/>
        <v>45445.416666666591</v>
      </c>
      <c r="AN17" s="105">
        <f t="shared" si="56"/>
        <v>45445.458333333256</v>
      </c>
      <c r="AO17" s="105">
        <f t="shared" si="56"/>
        <v>45445.49999999992</v>
      </c>
      <c r="AP17" s="105">
        <f t="shared" si="56"/>
        <v>45445.541666666584</v>
      </c>
      <c r="AQ17" s="105">
        <f t="shared" si="56"/>
        <v>45445.583333333248</v>
      </c>
      <c r="AR17" s="105">
        <f t="shared" si="56"/>
        <v>45445.624999999913</v>
      </c>
      <c r="AS17" s="105">
        <f t="shared" si="56"/>
        <v>45445.666666666577</v>
      </c>
      <c r="AT17" s="105">
        <f t="shared" si="56"/>
        <v>45445.708333333241</v>
      </c>
      <c r="AU17" s="105">
        <f t="shared" si="56"/>
        <v>45445.749999999905</v>
      </c>
      <c r="AV17" s="105">
        <f t="shared" si="56"/>
        <v>45445.79166666657</v>
      </c>
      <c r="AW17" s="105">
        <f t="shared" si="56"/>
        <v>45445.833333333234</v>
      </c>
      <c r="AX17" s="105">
        <f t="shared" si="56"/>
        <v>45445.874999999898</v>
      </c>
      <c r="AY17" s="105">
        <f t="shared" si="56"/>
        <v>45445.916666666562</v>
      </c>
      <c r="AZ17" s="105">
        <f t="shared" si="56"/>
        <v>45445.958333333227</v>
      </c>
      <c r="BA17" s="89">
        <f t="shared" si="56"/>
        <v>45445.999999999891</v>
      </c>
      <c r="BB17" s="89">
        <f t="shared" si="56"/>
        <v>45446.041666666555</v>
      </c>
      <c r="BC17" s="89">
        <f t="shared" si="56"/>
        <v>45446.083333333219</v>
      </c>
      <c r="BD17" s="89">
        <f t="shared" si="56"/>
        <v>45446.124999999884</v>
      </c>
      <c r="BE17" s="89">
        <f t="shared" si="56"/>
        <v>45446.166666666548</v>
      </c>
      <c r="BF17" s="89">
        <f t="shared" si="56"/>
        <v>45446.208333333212</v>
      </c>
      <c r="BG17" s="89">
        <f t="shared" si="56"/>
        <v>45446.249999999876</v>
      </c>
      <c r="BH17" s="89">
        <f t="shared" si="56"/>
        <v>45446.291666666541</v>
      </c>
      <c r="BI17" s="89">
        <f t="shared" si="56"/>
        <v>45446.333333333205</v>
      </c>
      <c r="BJ17" s="89">
        <f t="shared" si="56"/>
        <v>45446.374999999869</v>
      </c>
      <c r="BK17" s="89">
        <f t="shared" si="56"/>
        <v>45446.416666666533</v>
      </c>
      <c r="BL17" s="89">
        <f t="shared" si="56"/>
        <v>45446.458333333198</v>
      </c>
      <c r="BM17" s="89">
        <f t="shared" si="56"/>
        <v>45446.499999999862</v>
      </c>
      <c r="BN17" s="89">
        <f t="shared" si="56"/>
        <v>45446.541666666526</v>
      </c>
      <c r="BO17" s="89">
        <f t="shared" si="56"/>
        <v>45446.58333333319</v>
      </c>
      <c r="BP17" s="89">
        <f t="shared" si="56"/>
        <v>45446.624999999854</v>
      </c>
      <c r="BQ17" s="89">
        <f t="shared" si="56"/>
        <v>45446.666666666519</v>
      </c>
      <c r="BR17" s="89">
        <f t="shared" si="56"/>
        <v>45446.708333333183</v>
      </c>
      <c r="BS17" s="89">
        <f t="shared" ref="BS17:ED17" si="57">BS1</f>
        <v>45446.749999999847</v>
      </c>
      <c r="BT17" s="89">
        <f t="shared" si="57"/>
        <v>45446.791666666511</v>
      </c>
      <c r="BU17" s="89">
        <f t="shared" si="57"/>
        <v>45446.833333333176</v>
      </c>
      <c r="BV17" s="89">
        <f t="shared" si="57"/>
        <v>45446.87499999984</v>
      </c>
      <c r="BW17" s="89">
        <f t="shared" si="57"/>
        <v>45446.916666666504</v>
      </c>
      <c r="BX17" s="89">
        <f t="shared" si="57"/>
        <v>45446.958333333168</v>
      </c>
      <c r="BY17" s="89">
        <f t="shared" si="57"/>
        <v>45446.999999999833</v>
      </c>
      <c r="BZ17" s="89">
        <f t="shared" si="57"/>
        <v>45447.041666666497</v>
      </c>
      <c r="CA17" s="89">
        <f t="shared" si="57"/>
        <v>45447.083333333161</v>
      </c>
      <c r="CB17" s="89">
        <f t="shared" si="57"/>
        <v>45447.124999999825</v>
      </c>
      <c r="CC17" s="89">
        <f t="shared" si="57"/>
        <v>45447.16666666649</v>
      </c>
      <c r="CD17" s="89">
        <f t="shared" si="57"/>
        <v>45447.208333333154</v>
      </c>
      <c r="CE17" s="89">
        <f t="shared" si="57"/>
        <v>45447.249999999818</v>
      </c>
      <c r="CF17" s="89">
        <f t="shared" si="57"/>
        <v>45447.291666666482</v>
      </c>
      <c r="CG17" s="89">
        <f t="shared" si="57"/>
        <v>45447.333333333147</v>
      </c>
      <c r="CH17" s="89">
        <f t="shared" si="57"/>
        <v>45447.374999999811</v>
      </c>
      <c r="CI17" s="89">
        <f t="shared" si="57"/>
        <v>45447.416666666475</v>
      </c>
      <c r="CJ17" s="89">
        <f t="shared" si="57"/>
        <v>45447.458333333139</v>
      </c>
      <c r="CK17" s="89">
        <f t="shared" si="57"/>
        <v>45447.499999999804</v>
      </c>
      <c r="CL17" s="89">
        <f t="shared" si="57"/>
        <v>45447.541666666468</v>
      </c>
      <c r="CM17" s="89">
        <f t="shared" si="57"/>
        <v>45447.583333333132</v>
      </c>
      <c r="CN17" s="89">
        <f t="shared" si="57"/>
        <v>45447.624999999796</v>
      </c>
      <c r="CO17" s="89">
        <f t="shared" si="57"/>
        <v>45447.666666666461</v>
      </c>
      <c r="CP17" s="89">
        <f t="shared" si="57"/>
        <v>45447.708333333125</v>
      </c>
      <c r="CQ17" s="89">
        <f t="shared" si="57"/>
        <v>45447.749999999789</v>
      </c>
      <c r="CR17" s="89">
        <f t="shared" si="57"/>
        <v>45447.791666666453</v>
      </c>
      <c r="CS17" s="89">
        <f t="shared" si="57"/>
        <v>45447.833333333117</v>
      </c>
      <c r="CT17" s="89">
        <f t="shared" si="57"/>
        <v>45447.874999999782</v>
      </c>
      <c r="CU17" s="89">
        <f t="shared" si="57"/>
        <v>45447.916666666446</v>
      </c>
      <c r="CV17" s="89">
        <f t="shared" si="57"/>
        <v>45447.95833333311</v>
      </c>
      <c r="CW17" s="89">
        <f t="shared" si="57"/>
        <v>45447.999999999774</v>
      </c>
      <c r="CX17" s="89">
        <f t="shared" si="57"/>
        <v>45448.041666666439</v>
      </c>
      <c r="CY17" s="89">
        <f t="shared" si="57"/>
        <v>45448.083333333103</v>
      </c>
      <c r="CZ17" s="89">
        <f t="shared" si="57"/>
        <v>45448.124999999767</v>
      </c>
      <c r="DA17" s="89">
        <f t="shared" si="57"/>
        <v>45448.166666666431</v>
      </c>
      <c r="DB17" s="89">
        <f t="shared" si="57"/>
        <v>45448.208333333096</v>
      </c>
      <c r="DC17" s="89">
        <f t="shared" si="57"/>
        <v>45448.24999999976</v>
      </c>
      <c r="DD17" s="89">
        <f t="shared" si="57"/>
        <v>45448.291666666424</v>
      </c>
      <c r="DE17" s="89">
        <f t="shared" si="57"/>
        <v>45448.333333333088</v>
      </c>
      <c r="DF17" s="89">
        <f t="shared" si="57"/>
        <v>45448.374999999753</v>
      </c>
      <c r="DG17" s="89">
        <f t="shared" si="57"/>
        <v>45448.416666666417</v>
      </c>
      <c r="DH17" s="89">
        <f t="shared" si="57"/>
        <v>45448.458333333081</v>
      </c>
      <c r="DI17" s="89">
        <f t="shared" si="57"/>
        <v>45448.499999999745</v>
      </c>
      <c r="DJ17" s="89">
        <f t="shared" si="57"/>
        <v>45448.54166666641</v>
      </c>
      <c r="DK17" s="89">
        <f t="shared" si="57"/>
        <v>45448.583333333074</v>
      </c>
      <c r="DL17" s="89">
        <f t="shared" si="57"/>
        <v>45448.624999999738</v>
      </c>
      <c r="DM17" s="89">
        <f t="shared" si="57"/>
        <v>45448.666666666402</v>
      </c>
      <c r="DN17" s="89">
        <f t="shared" si="57"/>
        <v>45448.708333333067</v>
      </c>
      <c r="DO17" s="89">
        <f t="shared" si="57"/>
        <v>45448.749999999731</v>
      </c>
      <c r="DP17" s="89">
        <f t="shared" si="57"/>
        <v>45448.791666666395</v>
      </c>
      <c r="DQ17" s="89">
        <f t="shared" si="57"/>
        <v>45448.833333333059</v>
      </c>
      <c r="DR17" s="89">
        <f t="shared" si="57"/>
        <v>45448.874999999724</v>
      </c>
      <c r="DS17" s="89">
        <f t="shared" si="57"/>
        <v>45448.916666666388</v>
      </c>
      <c r="DT17" s="89">
        <f t="shared" si="57"/>
        <v>45448.958333333052</v>
      </c>
      <c r="DU17" s="89">
        <f t="shared" si="57"/>
        <v>45448.999999999716</v>
      </c>
      <c r="DV17" s="89">
        <f t="shared" si="57"/>
        <v>45449.04166666638</v>
      </c>
      <c r="DW17" s="89">
        <f t="shared" si="57"/>
        <v>45449.083333333045</v>
      </c>
      <c r="DX17" s="89">
        <f t="shared" si="57"/>
        <v>45449.124999999709</v>
      </c>
      <c r="DY17" s="89">
        <f t="shared" si="57"/>
        <v>45449.166666666373</v>
      </c>
      <c r="DZ17" s="89">
        <f t="shared" si="57"/>
        <v>45449.208333333037</v>
      </c>
      <c r="EA17" s="89">
        <f t="shared" si="57"/>
        <v>45449.249999999702</v>
      </c>
      <c r="EB17" s="89">
        <f t="shared" si="57"/>
        <v>45449.291666666366</v>
      </c>
      <c r="EC17" s="89">
        <f t="shared" si="57"/>
        <v>45449.33333333303</v>
      </c>
      <c r="ED17" s="89">
        <f t="shared" si="57"/>
        <v>45449.374999999694</v>
      </c>
      <c r="EE17" s="89">
        <f t="shared" ref="EE17:GP17" si="58">EE1</f>
        <v>45449.416666666359</v>
      </c>
      <c r="EF17" s="89">
        <f t="shared" si="58"/>
        <v>45449.458333333023</v>
      </c>
      <c r="EG17" s="89">
        <f t="shared" si="58"/>
        <v>45449.499999999687</v>
      </c>
      <c r="EH17" s="89">
        <f t="shared" si="58"/>
        <v>45449.541666666351</v>
      </c>
      <c r="EI17" s="89">
        <f t="shared" si="58"/>
        <v>45449.583333333016</v>
      </c>
      <c r="EJ17" s="89">
        <f t="shared" si="58"/>
        <v>45449.62499999968</v>
      </c>
      <c r="EK17" s="89">
        <f t="shared" si="58"/>
        <v>45449.666666666344</v>
      </c>
      <c r="EL17" s="89">
        <f t="shared" si="58"/>
        <v>45449.708333333008</v>
      </c>
      <c r="EM17" s="89">
        <f t="shared" si="58"/>
        <v>45449.749999999673</v>
      </c>
      <c r="EN17" s="89">
        <f t="shared" si="58"/>
        <v>45449.791666666337</v>
      </c>
      <c r="EO17" s="89">
        <f t="shared" si="58"/>
        <v>45449.833333333001</v>
      </c>
      <c r="EP17" s="89">
        <f t="shared" si="58"/>
        <v>45449.874999999665</v>
      </c>
      <c r="EQ17" s="89">
        <f t="shared" si="58"/>
        <v>45449.91666666633</v>
      </c>
      <c r="ER17" s="89">
        <f t="shared" si="58"/>
        <v>45449.958333332994</v>
      </c>
      <c r="ES17" s="89">
        <f t="shared" si="58"/>
        <v>45449.999999999658</v>
      </c>
      <c r="ET17" s="89">
        <f t="shared" si="58"/>
        <v>45450.041666666322</v>
      </c>
      <c r="EU17" s="89">
        <f t="shared" si="58"/>
        <v>45450.083333332987</v>
      </c>
      <c r="EV17" s="89">
        <f t="shared" si="58"/>
        <v>45450.124999999651</v>
      </c>
      <c r="EW17" s="89">
        <f t="shared" si="58"/>
        <v>45450.166666666315</v>
      </c>
      <c r="EX17" s="89">
        <f t="shared" si="58"/>
        <v>45450.208333332979</v>
      </c>
      <c r="EY17" s="89">
        <f t="shared" si="58"/>
        <v>45450.249999999643</v>
      </c>
      <c r="EZ17" s="89">
        <f t="shared" si="58"/>
        <v>45450.291666666308</v>
      </c>
      <c r="FA17" s="89">
        <f t="shared" si="58"/>
        <v>45450.333333332972</v>
      </c>
      <c r="FB17" s="89">
        <f t="shared" si="58"/>
        <v>45450.374999999636</v>
      </c>
      <c r="FC17" s="89">
        <f t="shared" si="58"/>
        <v>45450.4166666663</v>
      </c>
      <c r="FD17" s="89">
        <f t="shared" si="58"/>
        <v>45450.458333332965</v>
      </c>
      <c r="FE17" s="89">
        <f t="shared" si="58"/>
        <v>45450.499999999629</v>
      </c>
      <c r="FF17" s="89">
        <f t="shared" si="58"/>
        <v>45450.541666666293</v>
      </c>
      <c r="FG17" s="89">
        <f t="shared" si="58"/>
        <v>45450.583333332957</v>
      </c>
      <c r="FH17" s="89">
        <f t="shared" si="58"/>
        <v>45450.624999999622</v>
      </c>
      <c r="FI17" s="89">
        <f t="shared" si="58"/>
        <v>45450.666666666286</v>
      </c>
      <c r="FJ17" s="89">
        <f t="shared" si="58"/>
        <v>45450.70833333295</v>
      </c>
      <c r="FK17" s="89">
        <f t="shared" si="58"/>
        <v>45450.749999999614</v>
      </c>
      <c r="FL17" s="89">
        <f t="shared" si="58"/>
        <v>45450.791666666279</v>
      </c>
      <c r="FM17" s="89">
        <f t="shared" si="58"/>
        <v>45450.833333332943</v>
      </c>
      <c r="FN17" s="89">
        <f t="shared" si="58"/>
        <v>45450.874999999607</v>
      </c>
      <c r="FO17" s="89">
        <f t="shared" si="58"/>
        <v>45450.916666666271</v>
      </c>
      <c r="FP17" s="89">
        <f t="shared" si="58"/>
        <v>45450.958333332936</v>
      </c>
      <c r="FQ17" s="89">
        <f t="shared" si="58"/>
        <v>45450.9999999996</v>
      </c>
      <c r="FR17" s="89">
        <f t="shared" si="58"/>
        <v>45451.041666666264</v>
      </c>
      <c r="FS17" s="89">
        <f t="shared" si="58"/>
        <v>45451.083333332928</v>
      </c>
      <c r="FT17" s="89">
        <f t="shared" si="58"/>
        <v>45451.124999999593</v>
      </c>
      <c r="FU17" s="89">
        <f t="shared" si="58"/>
        <v>45451.166666666257</v>
      </c>
      <c r="FV17" s="89">
        <f t="shared" si="58"/>
        <v>45451.208333332921</v>
      </c>
      <c r="FW17" s="89">
        <f t="shared" si="58"/>
        <v>45451.249999999585</v>
      </c>
      <c r="FX17" s="89">
        <f t="shared" si="58"/>
        <v>45451.29166666625</v>
      </c>
      <c r="FY17" s="89">
        <f t="shared" si="58"/>
        <v>45451.333333332914</v>
      </c>
      <c r="FZ17" s="89">
        <f t="shared" si="58"/>
        <v>45451.374999999578</v>
      </c>
      <c r="GA17" s="89">
        <f t="shared" si="58"/>
        <v>45451.416666666242</v>
      </c>
      <c r="GB17" s="89">
        <f t="shared" si="58"/>
        <v>45451.458333332906</v>
      </c>
      <c r="GC17" s="89">
        <f t="shared" si="58"/>
        <v>45451.499999999571</v>
      </c>
      <c r="GD17" s="89">
        <f t="shared" si="58"/>
        <v>45451.541666666235</v>
      </c>
      <c r="GE17" s="89">
        <f t="shared" si="58"/>
        <v>45451.583333332899</v>
      </c>
      <c r="GF17" s="89">
        <f t="shared" si="58"/>
        <v>45451.624999999563</v>
      </c>
      <c r="GG17" s="89">
        <f t="shared" si="58"/>
        <v>45451.666666666228</v>
      </c>
      <c r="GH17" s="89">
        <f t="shared" si="58"/>
        <v>45451.708333332892</v>
      </c>
      <c r="GI17" s="89">
        <f t="shared" si="58"/>
        <v>45451.749999999556</v>
      </c>
      <c r="GJ17" s="89">
        <f t="shared" si="58"/>
        <v>45451.79166666622</v>
      </c>
      <c r="GK17" s="89">
        <f t="shared" si="58"/>
        <v>45451.833333332885</v>
      </c>
      <c r="GL17" s="89">
        <f t="shared" si="58"/>
        <v>45451.874999999549</v>
      </c>
      <c r="GM17" s="89">
        <f t="shared" si="58"/>
        <v>45451.916666666213</v>
      </c>
      <c r="GN17" s="89">
        <f t="shared" si="58"/>
        <v>45451.958333332877</v>
      </c>
      <c r="GO17" s="89">
        <f t="shared" si="58"/>
        <v>45451.999999999542</v>
      </c>
      <c r="GP17" s="89">
        <f t="shared" si="58"/>
        <v>45452.041666666206</v>
      </c>
      <c r="GQ17" s="89">
        <f t="shared" ref="GQ17:HX17" si="59">GQ1</f>
        <v>45452.08333333287</v>
      </c>
      <c r="GR17" s="89">
        <f t="shared" si="59"/>
        <v>45452.124999999534</v>
      </c>
      <c r="GS17" s="89">
        <f t="shared" si="59"/>
        <v>45452.166666666199</v>
      </c>
      <c r="GT17" s="89">
        <f t="shared" si="59"/>
        <v>45452.208333332863</v>
      </c>
      <c r="GU17" s="89">
        <f t="shared" si="59"/>
        <v>45452.249999999527</v>
      </c>
      <c r="GV17" s="89">
        <f t="shared" si="59"/>
        <v>45452.291666666191</v>
      </c>
      <c r="GW17" s="89">
        <f t="shared" si="59"/>
        <v>45452.333333332856</v>
      </c>
      <c r="GX17" s="89">
        <f t="shared" si="59"/>
        <v>45452.37499999952</v>
      </c>
      <c r="GY17" s="89">
        <f t="shared" si="59"/>
        <v>45452.416666666184</v>
      </c>
      <c r="GZ17" s="89">
        <f t="shared" si="59"/>
        <v>45452.458333332848</v>
      </c>
      <c r="HA17" s="89">
        <f t="shared" si="59"/>
        <v>45452.499999999513</v>
      </c>
      <c r="HB17" s="89">
        <f t="shared" si="59"/>
        <v>45452.541666666177</v>
      </c>
      <c r="HC17" s="89">
        <f t="shared" si="59"/>
        <v>45452.583333332841</v>
      </c>
      <c r="HD17" s="89">
        <f t="shared" si="59"/>
        <v>45452.624999999505</v>
      </c>
      <c r="HE17" s="89">
        <f t="shared" si="59"/>
        <v>45452.666666666169</v>
      </c>
      <c r="HF17" s="89">
        <f t="shared" si="59"/>
        <v>45452.708333332834</v>
      </c>
      <c r="HG17" s="89">
        <f t="shared" si="59"/>
        <v>45452.749999999498</v>
      </c>
      <c r="HH17" s="89">
        <f t="shared" si="59"/>
        <v>45452.791666666162</v>
      </c>
      <c r="HI17" s="89">
        <f t="shared" si="59"/>
        <v>45452.833333332826</v>
      </c>
      <c r="HJ17" s="89">
        <f t="shared" si="59"/>
        <v>45452.874999999491</v>
      </c>
      <c r="HK17" s="89">
        <f t="shared" si="59"/>
        <v>45452.916666666155</v>
      </c>
      <c r="HL17" s="89">
        <f t="shared" si="59"/>
        <v>45452.958333332819</v>
      </c>
      <c r="HM17" s="89">
        <f t="shared" si="59"/>
        <v>45452.999999999483</v>
      </c>
      <c r="HN17" s="89">
        <f t="shared" si="59"/>
        <v>45453.041666666148</v>
      </c>
      <c r="HO17" s="89">
        <f t="shared" si="59"/>
        <v>45453.083333332812</v>
      </c>
      <c r="HP17" s="89">
        <f t="shared" si="59"/>
        <v>45453.124999999476</v>
      </c>
      <c r="HQ17" s="89">
        <f t="shared" si="59"/>
        <v>45453.16666666614</v>
      </c>
      <c r="HR17" s="89">
        <f t="shared" si="59"/>
        <v>45453.208333332805</v>
      </c>
      <c r="HS17" s="89">
        <f t="shared" si="59"/>
        <v>45453.249999999469</v>
      </c>
      <c r="HT17" s="89">
        <f t="shared" si="59"/>
        <v>45453.291666666133</v>
      </c>
      <c r="HU17" s="89">
        <f t="shared" si="59"/>
        <v>45453.333333332797</v>
      </c>
      <c r="HV17" s="89">
        <f t="shared" si="59"/>
        <v>45453.374999999462</v>
      </c>
      <c r="HW17" s="89">
        <f t="shared" si="59"/>
        <v>45453.416666666126</v>
      </c>
      <c r="HX17" s="89">
        <f t="shared" si="59"/>
        <v>45453.45833333279</v>
      </c>
    </row>
    <row r="18" spans="1:232" ht="28.15" customHeight="1" x14ac:dyDescent="0.2">
      <c r="B18" s="87" t="s">
        <v>64</v>
      </c>
      <c r="C18" s="87" t="s">
        <v>130</v>
      </c>
      <c r="D18" s="87" t="s">
        <v>129</v>
      </c>
      <c r="E18" s="87" t="s">
        <v>126</v>
      </c>
      <c r="F18" s="87" t="s">
        <v>125</v>
      </c>
      <c r="G18" s="88">
        <f>'Plantilla Datos'!E4</f>
        <v>8.3333333333333329E-2</v>
      </c>
      <c r="H18" s="88">
        <f>G18+TIME(1,0,0)</f>
        <v>0.125</v>
      </c>
      <c r="I18" s="88">
        <f t="shared" ref="I18:AR18" si="60">H18+TIME(1,0,0)</f>
        <v>0.16666666666666666</v>
      </c>
      <c r="J18" s="88">
        <f t="shared" si="60"/>
        <v>0.20833333333333331</v>
      </c>
      <c r="K18" s="88">
        <f t="shared" si="60"/>
        <v>0.24999999999999997</v>
      </c>
      <c r="L18" s="88">
        <f t="shared" si="60"/>
        <v>0.29166666666666663</v>
      </c>
      <c r="M18" s="88">
        <f t="shared" si="60"/>
        <v>0.33333333333333331</v>
      </c>
      <c r="N18" s="88">
        <f t="shared" si="60"/>
        <v>0.375</v>
      </c>
      <c r="O18" s="88">
        <f t="shared" si="60"/>
        <v>0.41666666666666669</v>
      </c>
      <c r="P18" s="88">
        <f t="shared" si="60"/>
        <v>0.45833333333333337</v>
      </c>
      <c r="Q18" s="88">
        <f t="shared" si="60"/>
        <v>0.5</v>
      </c>
      <c r="R18" s="88">
        <f t="shared" si="60"/>
        <v>0.54166666666666663</v>
      </c>
      <c r="S18" s="88">
        <f t="shared" si="60"/>
        <v>0.58333333333333326</v>
      </c>
      <c r="T18" s="88">
        <f t="shared" si="60"/>
        <v>0.62499999999999989</v>
      </c>
      <c r="U18" s="88">
        <f t="shared" si="60"/>
        <v>0.66666666666666652</v>
      </c>
      <c r="V18" s="88">
        <f t="shared" si="60"/>
        <v>0.70833333333333315</v>
      </c>
      <c r="W18" s="88">
        <f t="shared" si="60"/>
        <v>0.74999999999999978</v>
      </c>
      <c r="X18" s="88">
        <f t="shared" si="60"/>
        <v>0.79166666666666641</v>
      </c>
      <c r="Y18" s="88">
        <f t="shared" si="60"/>
        <v>0.83333333333333304</v>
      </c>
      <c r="Z18" s="88">
        <f t="shared" si="60"/>
        <v>0.87499999999999967</v>
      </c>
      <c r="AA18" s="88">
        <f t="shared" si="60"/>
        <v>0.9166666666666663</v>
      </c>
      <c r="AB18" s="88">
        <f t="shared" si="60"/>
        <v>0.95833333333333293</v>
      </c>
      <c r="AC18" s="88">
        <f t="shared" si="60"/>
        <v>0.99999999999999956</v>
      </c>
      <c r="AD18" s="88">
        <f t="shared" si="60"/>
        <v>1.0416666666666663</v>
      </c>
      <c r="AE18" s="88">
        <f t="shared" si="60"/>
        <v>1.083333333333333</v>
      </c>
      <c r="AF18" s="88">
        <f t="shared" si="60"/>
        <v>1.1249999999999998</v>
      </c>
      <c r="AG18" s="88">
        <f t="shared" si="60"/>
        <v>1.1666666666666665</v>
      </c>
      <c r="AH18" s="88">
        <f t="shared" si="60"/>
        <v>1.2083333333333333</v>
      </c>
      <c r="AI18" s="88">
        <f t="shared" si="60"/>
        <v>1.25</v>
      </c>
      <c r="AJ18" s="88">
        <f t="shared" si="60"/>
        <v>1.2916666666666667</v>
      </c>
      <c r="AK18" s="88">
        <f t="shared" si="60"/>
        <v>1.3333333333333335</v>
      </c>
      <c r="AL18" s="88">
        <f t="shared" si="60"/>
        <v>1.3750000000000002</v>
      </c>
      <c r="AM18" s="88">
        <f t="shared" si="60"/>
        <v>1.416666666666667</v>
      </c>
      <c r="AN18" s="88">
        <f t="shared" si="60"/>
        <v>1.4583333333333337</v>
      </c>
      <c r="AO18" s="88">
        <f t="shared" si="60"/>
        <v>1.5000000000000004</v>
      </c>
      <c r="AP18" s="88">
        <f t="shared" si="60"/>
        <v>1.5416666666666672</v>
      </c>
      <c r="AQ18" s="88">
        <f t="shared" si="60"/>
        <v>1.5833333333333339</v>
      </c>
      <c r="AR18" s="88">
        <f t="shared" si="60"/>
        <v>1.6250000000000007</v>
      </c>
      <c r="AS18" s="88">
        <f t="shared" ref="AS18" si="61">AR18+TIME(1,0,0)</f>
        <v>1.6666666666666674</v>
      </c>
      <c r="AT18" s="88">
        <f t="shared" ref="AT18" si="62">AS18+TIME(1,0,0)</f>
        <v>1.7083333333333341</v>
      </c>
      <c r="AU18" s="88">
        <f t="shared" ref="AU18" si="63">AT18+TIME(1,0,0)</f>
        <v>1.7500000000000009</v>
      </c>
      <c r="AV18" s="88">
        <f t="shared" ref="AV18" si="64">AU18+TIME(1,0,0)</f>
        <v>1.7916666666666676</v>
      </c>
      <c r="AW18" s="88">
        <f t="shared" ref="AW18" si="65">AV18+TIME(1,0,0)</f>
        <v>1.8333333333333344</v>
      </c>
      <c r="AX18" s="88">
        <f t="shared" ref="AX18" si="66">AW18+TIME(1,0,0)</f>
        <v>1.8750000000000011</v>
      </c>
      <c r="AY18" s="88">
        <f t="shared" ref="AY18" si="67">AX18+TIME(1,0,0)</f>
        <v>1.9166666666666679</v>
      </c>
      <c r="AZ18" s="88">
        <f t="shared" ref="AZ18" si="68">AY18+TIME(1,0,0)</f>
        <v>1.9583333333333346</v>
      </c>
      <c r="BA18" s="88">
        <f t="shared" ref="BA18" si="69">AZ18+TIME(1,0,0)</f>
        <v>2.0000000000000013</v>
      </c>
      <c r="BB18" s="88">
        <f t="shared" ref="BB18" si="70">BA18+TIME(1,0,0)</f>
        <v>2.0416666666666679</v>
      </c>
      <c r="BC18" s="88">
        <f t="shared" ref="BC18" si="71">BB18+TIME(1,0,0)</f>
        <v>2.0833333333333344</v>
      </c>
      <c r="BD18" s="88">
        <f t="shared" ref="BD18" si="72">BC18+TIME(1,0,0)</f>
        <v>2.1250000000000009</v>
      </c>
      <c r="BE18" s="88">
        <f t="shared" ref="BE18" si="73">BD18+TIME(1,0,0)</f>
        <v>2.1666666666666674</v>
      </c>
      <c r="BF18" s="88">
        <f t="shared" ref="BF18" si="74">BE18+TIME(1,0,0)</f>
        <v>2.2083333333333339</v>
      </c>
      <c r="BG18" s="88">
        <f t="shared" ref="BG18" si="75">BF18+TIME(1,0,0)</f>
        <v>2.2500000000000004</v>
      </c>
      <c r="BH18" s="88">
        <f t="shared" ref="BH18" si="76">BG18+TIME(1,0,0)</f>
        <v>2.291666666666667</v>
      </c>
      <c r="BI18" s="88">
        <f t="shared" ref="BI18" si="77">BH18+TIME(1,0,0)</f>
        <v>2.3333333333333335</v>
      </c>
      <c r="BJ18" s="88">
        <f t="shared" ref="BJ18" si="78">BI18+TIME(1,0,0)</f>
        <v>2.375</v>
      </c>
      <c r="BK18" s="88">
        <f t="shared" ref="BK18" si="79">BJ18+TIME(1,0,0)</f>
        <v>2.4166666666666665</v>
      </c>
      <c r="BL18" s="88">
        <f t="shared" ref="BL18" si="80">BK18+TIME(1,0,0)</f>
        <v>2.458333333333333</v>
      </c>
      <c r="BM18" s="88">
        <f t="shared" ref="BM18" si="81">BL18+TIME(1,0,0)</f>
        <v>2.4999999999999996</v>
      </c>
      <c r="BN18" s="88">
        <f t="shared" ref="BN18" si="82">BM18+TIME(1,0,0)</f>
        <v>2.5416666666666661</v>
      </c>
      <c r="BO18" s="88">
        <f t="shared" ref="BO18" si="83">BN18+TIME(1,0,0)</f>
        <v>2.5833333333333326</v>
      </c>
      <c r="BP18" s="88">
        <f t="shared" ref="BP18" si="84">BO18+TIME(1,0,0)</f>
        <v>2.6249999999999991</v>
      </c>
      <c r="BQ18" s="88">
        <f t="shared" ref="BQ18" si="85">BP18+TIME(1,0,0)</f>
        <v>2.6666666666666656</v>
      </c>
      <c r="BR18" s="88">
        <f t="shared" ref="BR18" si="86">BQ18+TIME(1,0,0)</f>
        <v>2.7083333333333321</v>
      </c>
      <c r="BS18" s="88">
        <f t="shared" ref="BS18" si="87">BR18+TIME(1,0,0)</f>
        <v>2.7499999999999987</v>
      </c>
      <c r="BT18" s="88">
        <f t="shared" ref="BT18" si="88">BS18+TIME(1,0,0)</f>
        <v>2.7916666666666652</v>
      </c>
      <c r="BU18" s="88">
        <f t="shared" ref="BU18" si="89">BT18+TIME(1,0,0)</f>
        <v>2.8333333333333317</v>
      </c>
      <c r="BV18" s="88">
        <f t="shared" ref="BV18" si="90">BU18+TIME(1,0,0)</f>
        <v>2.8749999999999982</v>
      </c>
      <c r="BW18" s="88">
        <f t="shared" ref="BW18" si="91">BV18+TIME(1,0,0)</f>
        <v>2.9166666666666647</v>
      </c>
      <c r="BX18" s="88">
        <f t="shared" ref="BX18" si="92">BW18+TIME(1,0,0)</f>
        <v>2.9583333333333313</v>
      </c>
      <c r="BY18" s="88">
        <f t="shared" ref="BY18" si="93">BX18+TIME(1,0,0)</f>
        <v>2.9999999999999978</v>
      </c>
      <c r="BZ18" s="88">
        <f t="shared" ref="BZ18" si="94">BY18+TIME(1,0,0)</f>
        <v>3.0416666666666643</v>
      </c>
      <c r="CA18" s="88">
        <f t="shared" ref="CA18" si="95">BZ18+TIME(1,0,0)</f>
        <v>3.0833333333333308</v>
      </c>
      <c r="CB18" s="88">
        <f t="shared" ref="CB18" si="96">CA18+TIME(1,0,0)</f>
        <v>3.1249999999999973</v>
      </c>
      <c r="CC18" s="88">
        <f t="shared" ref="CC18" si="97">CB18+TIME(1,0,0)</f>
        <v>3.1666666666666639</v>
      </c>
      <c r="CD18" s="88">
        <f t="shared" ref="CD18" si="98">CC18+TIME(1,0,0)</f>
        <v>3.2083333333333304</v>
      </c>
      <c r="CE18" s="88">
        <f t="shared" ref="CE18" si="99">CD18+TIME(1,0,0)</f>
        <v>3.2499999999999969</v>
      </c>
      <c r="CF18" s="88">
        <f t="shared" ref="CF18" si="100">CE18+TIME(1,0,0)</f>
        <v>3.2916666666666634</v>
      </c>
      <c r="CG18" s="88">
        <f t="shared" ref="CG18" si="101">CF18+TIME(1,0,0)</f>
        <v>3.3333333333333299</v>
      </c>
      <c r="CH18" s="88">
        <f t="shared" ref="CH18" si="102">CG18+TIME(1,0,0)</f>
        <v>3.3749999999999964</v>
      </c>
      <c r="CI18" s="88">
        <f t="shared" ref="CI18" si="103">CH18+TIME(1,0,0)</f>
        <v>3.416666666666663</v>
      </c>
      <c r="CJ18" s="88">
        <f t="shared" ref="CJ18" si="104">CI18+TIME(1,0,0)</f>
        <v>3.4583333333333295</v>
      </c>
      <c r="CK18" s="88">
        <f t="shared" ref="CK18" si="105">CJ18+TIME(1,0,0)</f>
        <v>3.499999999999996</v>
      </c>
      <c r="CL18" s="88">
        <f t="shared" ref="CL18" si="106">CK18+TIME(1,0,0)</f>
        <v>3.5416666666666625</v>
      </c>
      <c r="CM18" s="88">
        <f t="shared" ref="CM18" si="107">CL18+TIME(1,0,0)</f>
        <v>3.583333333333329</v>
      </c>
      <c r="CN18" s="88">
        <f t="shared" ref="CN18" si="108">CM18+TIME(1,0,0)</f>
        <v>3.6249999999999956</v>
      </c>
      <c r="CO18" s="88">
        <f t="shared" ref="CO18" si="109">CN18+TIME(1,0,0)</f>
        <v>3.6666666666666621</v>
      </c>
      <c r="CP18" s="88">
        <f t="shared" ref="CP18" si="110">CO18+TIME(1,0,0)</f>
        <v>3.7083333333333286</v>
      </c>
      <c r="CQ18" s="88">
        <f t="shared" ref="CQ18" si="111">CP18+TIME(1,0,0)</f>
        <v>3.7499999999999951</v>
      </c>
      <c r="CR18" s="88">
        <f t="shared" ref="CR18" si="112">CQ18+TIME(1,0,0)</f>
        <v>3.7916666666666616</v>
      </c>
      <c r="CS18" s="88">
        <f t="shared" ref="CS18" si="113">CR18+TIME(1,0,0)</f>
        <v>3.8333333333333282</v>
      </c>
      <c r="CT18" s="88">
        <f t="shared" ref="CT18" si="114">CS18+TIME(1,0,0)</f>
        <v>3.8749999999999947</v>
      </c>
      <c r="CU18" s="88">
        <f t="shared" ref="CU18" si="115">CT18+TIME(1,0,0)</f>
        <v>3.9166666666666612</v>
      </c>
      <c r="CV18" s="88">
        <f t="shared" ref="CV18" si="116">CU18+TIME(1,0,0)</f>
        <v>3.9583333333333277</v>
      </c>
      <c r="CW18" s="88">
        <f t="shared" ref="CW18" si="117">CV18+TIME(1,0,0)</f>
        <v>3.9999999999999942</v>
      </c>
      <c r="CX18" s="88">
        <f t="shared" ref="CX18" si="118">CW18+TIME(1,0,0)</f>
        <v>4.0416666666666607</v>
      </c>
      <c r="CY18" s="88">
        <f t="shared" ref="CY18" si="119">CX18+TIME(1,0,0)</f>
        <v>4.0833333333333277</v>
      </c>
      <c r="CZ18" s="88">
        <f t="shared" ref="CZ18" si="120">CY18+TIME(1,0,0)</f>
        <v>4.1249999999999947</v>
      </c>
      <c r="DA18" s="88">
        <f t="shared" ref="DA18" si="121">CZ18+TIME(1,0,0)</f>
        <v>4.1666666666666616</v>
      </c>
      <c r="DB18" s="88">
        <f t="shared" ref="DB18" si="122">DA18+TIME(1,0,0)</f>
        <v>4.2083333333333286</v>
      </c>
      <c r="DC18" s="88">
        <f t="shared" ref="DC18" si="123">DB18+TIME(1,0,0)</f>
        <v>4.2499999999999956</v>
      </c>
      <c r="DD18" s="88">
        <f t="shared" ref="DD18" si="124">DC18+TIME(1,0,0)</f>
        <v>4.2916666666666625</v>
      </c>
      <c r="DE18" s="88">
        <f t="shared" ref="DE18" si="125">DD18+TIME(1,0,0)</f>
        <v>4.3333333333333295</v>
      </c>
      <c r="DF18" s="88">
        <f t="shared" ref="DF18" si="126">DE18+TIME(1,0,0)</f>
        <v>4.3749999999999964</v>
      </c>
      <c r="DG18" s="88">
        <f t="shared" ref="DG18" si="127">DF18+TIME(1,0,0)</f>
        <v>4.4166666666666634</v>
      </c>
      <c r="DH18" s="88">
        <f t="shared" ref="DH18" si="128">DG18+TIME(1,0,0)</f>
        <v>4.4583333333333304</v>
      </c>
      <c r="DI18" s="88">
        <f t="shared" ref="DI18" si="129">DH18+TIME(1,0,0)</f>
        <v>4.4999999999999973</v>
      </c>
      <c r="DJ18" s="88">
        <f t="shared" ref="DJ18" si="130">DI18+TIME(1,0,0)</f>
        <v>4.5416666666666643</v>
      </c>
      <c r="DK18" s="88">
        <f t="shared" ref="DK18" si="131">DJ18+TIME(1,0,0)</f>
        <v>4.5833333333333313</v>
      </c>
      <c r="DL18" s="88">
        <f t="shared" ref="DL18" si="132">DK18+TIME(1,0,0)</f>
        <v>4.6249999999999982</v>
      </c>
      <c r="DM18" s="88">
        <f t="shared" ref="DM18" si="133">DL18+TIME(1,0,0)</f>
        <v>4.6666666666666652</v>
      </c>
      <c r="DN18" s="88">
        <f t="shared" ref="DN18" si="134">DM18+TIME(1,0,0)</f>
        <v>4.7083333333333321</v>
      </c>
      <c r="DO18" s="88">
        <f t="shared" ref="DO18" si="135">DN18+TIME(1,0,0)</f>
        <v>4.7499999999999991</v>
      </c>
      <c r="DP18" s="88">
        <f t="shared" ref="DP18" si="136">DO18+TIME(1,0,0)</f>
        <v>4.7916666666666661</v>
      </c>
      <c r="DQ18" s="88">
        <f t="shared" ref="DQ18" si="137">DP18+TIME(1,0,0)</f>
        <v>4.833333333333333</v>
      </c>
      <c r="DR18" s="88">
        <f t="shared" ref="DR18" si="138">DQ18+TIME(1,0,0)</f>
        <v>4.875</v>
      </c>
      <c r="DS18" s="88">
        <f t="shared" ref="DS18" si="139">DR18+TIME(1,0,0)</f>
        <v>4.916666666666667</v>
      </c>
      <c r="DT18" s="88">
        <f t="shared" ref="DT18" si="140">DS18+TIME(1,0,0)</f>
        <v>4.9583333333333339</v>
      </c>
      <c r="DU18" s="88">
        <f t="shared" ref="DU18" si="141">DT18+TIME(1,0,0)</f>
        <v>5.0000000000000009</v>
      </c>
      <c r="DV18" s="88">
        <f t="shared" ref="DV18" si="142">DU18+TIME(1,0,0)</f>
        <v>5.0416666666666679</v>
      </c>
      <c r="DW18" s="88">
        <f t="shared" ref="DW18" si="143">DV18+TIME(1,0,0)</f>
        <v>5.0833333333333348</v>
      </c>
      <c r="DX18" s="88">
        <f t="shared" ref="DX18" si="144">DW18+TIME(1,0,0)</f>
        <v>5.1250000000000018</v>
      </c>
      <c r="DY18" s="88">
        <f t="shared" ref="DY18" si="145">DX18+TIME(1,0,0)</f>
        <v>5.1666666666666687</v>
      </c>
      <c r="DZ18" s="88">
        <f t="shared" ref="DZ18" si="146">DY18+TIME(1,0,0)</f>
        <v>5.2083333333333357</v>
      </c>
      <c r="EA18" s="88">
        <f t="shared" ref="EA18" si="147">DZ18+TIME(1,0,0)</f>
        <v>5.2500000000000027</v>
      </c>
      <c r="EB18" s="88">
        <f t="shared" ref="EB18" si="148">EA18+TIME(1,0,0)</f>
        <v>5.2916666666666696</v>
      </c>
      <c r="EC18" s="88">
        <f t="shared" ref="EC18" si="149">EB18+TIME(1,0,0)</f>
        <v>5.3333333333333366</v>
      </c>
      <c r="ED18" s="88">
        <f t="shared" ref="ED18" si="150">EC18+TIME(1,0,0)</f>
        <v>5.3750000000000036</v>
      </c>
      <c r="EE18" s="88">
        <f t="shared" ref="EE18" si="151">ED18+TIME(1,0,0)</f>
        <v>5.4166666666666705</v>
      </c>
      <c r="EF18" s="88">
        <f t="shared" ref="EF18" si="152">EE18+TIME(1,0,0)</f>
        <v>5.4583333333333375</v>
      </c>
      <c r="EG18" s="88">
        <f t="shared" ref="EG18" si="153">EF18+TIME(1,0,0)</f>
        <v>5.5000000000000044</v>
      </c>
      <c r="EH18" s="88">
        <f t="shared" ref="EH18" si="154">EG18+TIME(1,0,0)</f>
        <v>5.5416666666666714</v>
      </c>
      <c r="EI18" s="88">
        <f t="shared" ref="EI18" si="155">EH18+TIME(1,0,0)</f>
        <v>5.5833333333333384</v>
      </c>
      <c r="EJ18" s="88">
        <f t="shared" ref="EJ18" si="156">EI18+TIME(1,0,0)</f>
        <v>5.6250000000000053</v>
      </c>
      <c r="EK18" s="88">
        <f t="shared" ref="EK18" si="157">EJ18+TIME(1,0,0)</f>
        <v>5.6666666666666723</v>
      </c>
      <c r="EL18" s="88">
        <f t="shared" ref="EL18" si="158">EK18+TIME(1,0,0)</f>
        <v>5.7083333333333393</v>
      </c>
      <c r="EM18" s="88">
        <f t="shared" ref="EM18" si="159">EL18+TIME(1,0,0)</f>
        <v>5.7500000000000062</v>
      </c>
      <c r="EN18" s="88">
        <f t="shared" ref="EN18" si="160">EM18+TIME(1,0,0)</f>
        <v>5.7916666666666732</v>
      </c>
      <c r="EO18" s="88">
        <f t="shared" ref="EO18" si="161">EN18+TIME(1,0,0)</f>
        <v>5.8333333333333401</v>
      </c>
      <c r="EP18" s="88">
        <f t="shared" ref="EP18" si="162">EO18+TIME(1,0,0)</f>
        <v>5.8750000000000071</v>
      </c>
      <c r="EQ18" s="88">
        <f t="shared" ref="EQ18" si="163">EP18+TIME(1,0,0)</f>
        <v>5.9166666666666741</v>
      </c>
      <c r="ER18" s="88">
        <f t="shared" ref="ER18" si="164">EQ18+TIME(1,0,0)</f>
        <v>5.958333333333341</v>
      </c>
      <c r="ES18" s="88">
        <f t="shared" ref="ES18" si="165">ER18+TIME(1,0,0)</f>
        <v>6.000000000000008</v>
      </c>
      <c r="ET18" s="88">
        <f t="shared" ref="ET18" si="166">ES18+TIME(1,0,0)</f>
        <v>6.041666666666675</v>
      </c>
      <c r="EU18" s="88">
        <f t="shared" ref="EU18" si="167">ET18+TIME(1,0,0)</f>
        <v>6.0833333333333419</v>
      </c>
      <c r="EV18" s="88">
        <f t="shared" ref="EV18" si="168">EU18+TIME(1,0,0)</f>
        <v>6.1250000000000089</v>
      </c>
      <c r="EW18" s="88">
        <f t="shared" ref="EW18" si="169">EV18+TIME(1,0,0)</f>
        <v>6.1666666666666758</v>
      </c>
      <c r="EX18" s="88">
        <f t="shared" ref="EX18" si="170">EW18+TIME(1,0,0)</f>
        <v>6.2083333333333428</v>
      </c>
      <c r="EY18" s="88">
        <f t="shared" ref="EY18" si="171">EX18+TIME(1,0,0)</f>
        <v>6.2500000000000098</v>
      </c>
      <c r="EZ18" s="88">
        <f t="shared" ref="EZ18" si="172">EY18+TIME(1,0,0)</f>
        <v>6.2916666666666767</v>
      </c>
      <c r="FA18" s="88">
        <f t="shared" ref="FA18" si="173">EZ18+TIME(1,0,0)</f>
        <v>6.3333333333333437</v>
      </c>
      <c r="FB18" s="88">
        <f t="shared" ref="FB18" si="174">FA18+TIME(1,0,0)</f>
        <v>6.3750000000000107</v>
      </c>
      <c r="FC18" s="88">
        <f t="shared" ref="FC18" si="175">FB18+TIME(1,0,0)</f>
        <v>6.4166666666666776</v>
      </c>
      <c r="FD18" s="88">
        <f t="shared" ref="FD18" si="176">FC18+TIME(1,0,0)</f>
        <v>6.4583333333333446</v>
      </c>
      <c r="FE18" s="88">
        <f t="shared" ref="FE18" si="177">FD18+TIME(1,0,0)</f>
        <v>6.5000000000000115</v>
      </c>
      <c r="FF18" s="88">
        <f t="shared" ref="FF18" si="178">FE18+TIME(1,0,0)</f>
        <v>6.5416666666666785</v>
      </c>
      <c r="FG18" s="88">
        <f t="shared" ref="FG18" si="179">FF18+TIME(1,0,0)</f>
        <v>6.5833333333333455</v>
      </c>
      <c r="FH18" s="88">
        <f t="shared" ref="FH18" si="180">FG18+TIME(1,0,0)</f>
        <v>6.6250000000000124</v>
      </c>
      <c r="FI18" s="88">
        <f t="shared" ref="FI18" si="181">FH18+TIME(1,0,0)</f>
        <v>6.6666666666666794</v>
      </c>
      <c r="FJ18" s="88">
        <f t="shared" ref="FJ18" si="182">FI18+TIME(1,0,0)</f>
        <v>6.7083333333333464</v>
      </c>
      <c r="FK18" s="88">
        <f t="shared" ref="FK18" si="183">FJ18+TIME(1,0,0)</f>
        <v>6.7500000000000133</v>
      </c>
      <c r="FL18" s="88">
        <f t="shared" ref="FL18" si="184">FK18+TIME(1,0,0)</f>
        <v>6.7916666666666803</v>
      </c>
      <c r="FM18" s="88">
        <f t="shared" ref="FM18" si="185">FL18+TIME(1,0,0)</f>
        <v>6.8333333333333472</v>
      </c>
      <c r="FN18" s="88">
        <f t="shared" ref="FN18" si="186">FM18+TIME(1,0,0)</f>
        <v>6.8750000000000142</v>
      </c>
      <c r="FO18" s="88">
        <f t="shared" ref="FO18" si="187">FN18+TIME(1,0,0)</f>
        <v>6.9166666666666812</v>
      </c>
      <c r="FP18" s="88">
        <f t="shared" ref="FP18" si="188">FO18+TIME(1,0,0)</f>
        <v>6.9583333333333481</v>
      </c>
      <c r="FQ18" s="88">
        <f t="shared" ref="FQ18" si="189">FP18+TIME(1,0,0)</f>
        <v>7.0000000000000151</v>
      </c>
      <c r="FR18" s="88">
        <f t="shared" ref="FR18" si="190">FQ18+TIME(1,0,0)</f>
        <v>7.0416666666666821</v>
      </c>
      <c r="FS18" s="88">
        <f t="shared" ref="FS18" si="191">FR18+TIME(1,0,0)</f>
        <v>7.083333333333349</v>
      </c>
      <c r="FT18" s="88">
        <f t="shared" ref="FT18" si="192">FS18+TIME(1,0,0)</f>
        <v>7.125000000000016</v>
      </c>
      <c r="FU18" s="88">
        <f t="shared" ref="FU18" si="193">FT18+TIME(1,0,0)</f>
        <v>7.1666666666666829</v>
      </c>
      <c r="FV18" s="88">
        <f t="shared" ref="FV18" si="194">FU18+TIME(1,0,0)</f>
        <v>7.2083333333333499</v>
      </c>
      <c r="FW18" s="88">
        <f t="shared" ref="FW18" si="195">FV18+TIME(1,0,0)</f>
        <v>7.2500000000000169</v>
      </c>
      <c r="FX18" s="88">
        <f t="shared" ref="FX18" si="196">FW18+TIME(1,0,0)</f>
        <v>7.2916666666666838</v>
      </c>
      <c r="FY18" s="88">
        <f t="shared" ref="FY18" si="197">FX18+TIME(1,0,0)</f>
        <v>7.3333333333333508</v>
      </c>
      <c r="FZ18" s="88">
        <f t="shared" ref="FZ18" si="198">FY18+TIME(1,0,0)</f>
        <v>7.3750000000000178</v>
      </c>
      <c r="GA18" s="88">
        <f t="shared" ref="GA18" si="199">FZ18+TIME(1,0,0)</f>
        <v>7.4166666666666847</v>
      </c>
      <c r="GB18" s="88">
        <f t="shared" ref="GB18" si="200">GA18+TIME(1,0,0)</f>
        <v>7.4583333333333517</v>
      </c>
      <c r="GC18" s="88">
        <f t="shared" ref="GC18" si="201">GB18+TIME(1,0,0)</f>
        <v>7.5000000000000187</v>
      </c>
      <c r="GD18" s="88">
        <f t="shared" ref="GD18" si="202">GC18+TIME(1,0,0)</f>
        <v>7.5416666666666856</v>
      </c>
      <c r="GE18" s="88">
        <f t="shared" ref="GE18" si="203">GD18+TIME(1,0,0)</f>
        <v>7.5833333333333526</v>
      </c>
      <c r="GF18" s="88">
        <f t="shared" ref="GF18" si="204">GE18+TIME(1,0,0)</f>
        <v>7.6250000000000195</v>
      </c>
      <c r="GG18" s="88">
        <f t="shared" ref="GG18" si="205">GF18+TIME(1,0,0)</f>
        <v>7.6666666666666865</v>
      </c>
      <c r="GH18" s="88">
        <f t="shared" ref="GH18" si="206">GG18+TIME(1,0,0)</f>
        <v>7.7083333333333535</v>
      </c>
      <c r="GI18" s="88">
        <f t="shared" ref="GI18" si="207">GH18+TIME(1,0,0)</f>
        <v>7.7500000000000204</v>
      </c>
      <c r="GJ18" s="88">
        <f t="shared" ref="GJ18" si="208">GI18+TIME(1,0,0)</f>
        <v>7.7916666666666874</v>
      </c>
      <c r="GK18" s="88">
        <f t="shared" ref="GK18" si="209">GJ18+TIME(1,0,0)</f>
        <v>7.8333333333333544</v>
      </c>
      <c r="GL18" s="88">
        <f t="shared" ref="GL18" si="210">GK18+TIME(1,0,0)</f>
        <v>7.8750000000000213</v>
      </c>
      <c r="GM18" s="88">
        <f t="shared" ref="GM18" si="211">GL18+TIME(1,0,0)</f>
        <v>7.9166666666666883</v>
      </c>
      <c r="GN18" s="88">
        <f t="shared" ref="GN18" si="212">GM18+TIME(1,0,0)</f>
        <v>7.9583333333333552</v>
      </c>
      <c r="GO18" s="88">
        <f t="shared" ref="GO18" si="213">GN18+TIME(1,0,0)</f>
        <v>8.0000000000000213</v>
      </c>
      <c r="GP18" s="88">
        <f t="shared" ref="GP18" si="214">GO18+TIME(1,0,0)</f>
        <v>8.0416666666666874</v>
      </c>
      <c r="GQ18" s="88">
        <f t="shared" ref="GQ18" si="215">GP18+TIME(1,0,0)</f>
        <v>8.0833333333333535</v>
      </c>
      <c r="GR18" s="88">
        <f t="shared" ref="GR18" si="216">GQ18+TIME(1,0,0)</f>
        <v>8.1250000000000195</v>
      </c>
      <c r="GS18" s="88">
        <f t="shared" ref="GS18" si="217">GR18+TIME(1,0,0)</f>
        <v>8.1666666666666856</v>
      </c>
      <c r="GT18" s="88">
        <f t="shared" ref="GT18" si="218">GS18+TIME(1,0,0)</f>
        <v>8.2083333333333517</v>
      </c>
      <c r="GU18" s="88">
        <f t="shared" ref="GU18" si="219">GT18+TIME(1,0,0)</f>
        <v>8.2500000000000178</v>
      </c>
      <c r="GV18" s="88">
        <f t="shared" ref="GV18" si="220">GU18+TIME(1,0,0)</f>
        <v>8.2916666666666838</v>
      </c>
      <c r="GW18" s="88">
        <f t="shared" ref="GW18" si="221">GV18+TIME(1,0,0)</f>
        <v>8.3333333333333499</v>
      </c>
      <c r="GX18" s="88">
        <f t="shared" ref="GX18" si="222">GW18+TIME(1,0,0)</f>
        <v>8.375000000000016</v>
      </c>
      <c r="GY18" s="88">
        <f t="shared" ref="GY18" si="223">GX18+TIME(1,0,0)</f>
        <v>8.4166666666666821</v>
      </c>
      <c r="GZ18" s="88">
        <f t="shared" ref="GZ18" si="224">GY18+TIME(1,0,0)</f>
        <v>8.4583333333333481</v>
      </c>
      <c r="HA18" s="88">
        <f t="shared" ref="HA18" si="225">GZ18+TIME(1,0,0)</f>
        <v>8.5000000000000142</v>
      </c>
      <c r="HB18" s="88">
        <f t="shared" ref="HB18" si="226">HA18+TIME(1,0,0)</f>
        <v>8.5416666666666803</v>
      </c>
      <c r="HC18" s="88">
        <f t="shared" ref="HC18" si="227">HB18+TIME(1,0,0)</f>
        <v>8.5833333333333464</v>
      </c>
      <c r="HD18" s="88">
        <f t="shared" ref="HD18" si="228">HC18+TIME(1,0,0)</f>
        <v>8.6250000000000124</v>
      </c>
      <c r="HE18" s="88">
        <f t="shared" ref="HE18" si="229">HD18+TIME(1,0,0)</f>
        <v>8.6666666666666785</v>
      </c>
      <c r="HF18" s="88">
        <f t="shared" ref="HF18" si="230">HE18+TIME(1,0,0)</f>
        <v>8.7083333333333446</v>
      </c>
      <c r="HG18" s="88">
        <f t="shared" ref="HG18" si="231">HF18+TIME(1,0,0)</f>
        <v>8.7500000000000107</v>
      </c>
      <c r="HH18" s="88">
        <f t="shared" ref="HH18" si="232">HG18+TIME(1,0,0)</f>
        <v>8.7916666666666767</v>
      </c>
      <c r="HI18" s="88">
        <f t="shared" ref="HI18" si="233">HH18+TIME(1,0,0)</f>
        <v>8.8333333333333428</v>
      </c>
      <c r="HJ18" s="88">
        <f t="shared" ref="HJ18" si="234">HI18+TIME(1,0,0)</f>
        <v>8.8750000000000089</v>
      </c>
      <c r="HK18" s="88">
        <f t="shared" ref="HK18" si="235">HJ18+TIME(1,0,0)</f>
        <v>8.916666666666675</v>
      </c>
      <c r="HL18" s="88">
        <f t="shared" ref="HL18" si="236">HK18+TIME(1,0,0)</f>
        <v>8.958333333333341</v>
      </c>
      <c r="HM18" s="88">
        <f t="shared" ref="HM18" si="237">HL18+TIME(1,0,0)</f>
        <v>9.0000000000000071</v>
      </c>
      <c r="HN18" s="88">
        <f t="shared" ref="HN18" si="238">HM18+TIME(1,0,0)</f>
        <v>9.0416666666666732</v>
      </c>
      <c r="HO18" s="88">
        <f t="shared" ref="HO18" si="239">HN18+TIME(1,0,0)</f>
        <v>9.0833333333333393</v>
      </c>
      <c r="HP18" s="88">
        <f t="shared" ref="HP18" si="240">HO18+TIME(1,0,0)</f>
        <v>9.1250000000000053</v>
      </c>
      <c r="HQ18" s="88">
        <f t="shared" ref="HQ18" si="241">HP18+TIME(1,0,0)</f>
        <v>9.1666666666666714</v>
      </c>
      <c r="HR18" s="88">
        <f t="shared" ref="HR18" si="242">HQ18+TIME(1,0,0)</f>
        <v>9.2083333333333375</v>
      </c>
      <c r="HS18" s="88">
        <f t="shared" ref="HS18" si="243">HR18+TIME(1,0,0)</f>
        <v>9.2500000000000036</v>
      </c>
      <c r="HT18" s="88">
        <f t="shared" ref="HT18" si="244">HS18+TIME(1,0,0)</f>
        <v>9.2916666666666696</v>
      </c>
      <c r="HU18" s="88">
        <f t="shared" ref="HU18" si="245">HT18+TIME(1,0,0)</f>
        <v>9.3333333333333357</v>
      </c>
      <c r="HV18" s="88">
        <f t="shared" ref="HV18" si="246">HU18+TIME(1,0,0)</f>
        <v>9.3750000000000018</v>
      </c>
      <c r="HW18" s="88">
        <f t="shared" ref="HW18" si="247">HV18+TIME(1,0,0)</f>
        <v>9.4166666666666679</v>
      </c>
      <c r="HX18" s="88">
        <f t="shared" ref="HX18" si="248">HW18+TIME(1,0,0)</f>
        <v>9.4583333333333339</v>
      </c>
    </row>
    <row r="19" spans="1:232" x14ac:dyDescent="0.2">
      <c r="B19" s="80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4">
        <v>1</v>
      </c>
      <c r="H19" s="85">
        <v>1</v>
      </c>
      <c r="I19" s="85">
        <v>1</v>
      </c>
      <c r="J19" s="85">
        <v>1</v>
      </c>
      <c r="K19" s="85">
        <v>1</v>
      </c>
      <c r="L19" s="85">
        <v>1</v>
      </c>
      <c r="M19" s="85">
        <v>1</v>
      </c>
      <c r="N19" s="85">
        <v>1</v>
      </c>
      <c r="O19" s="85">
        <v>1</v>
      </c>
      <c r="P19" s="85">
        <v>1</v>
      </c>
      <c r="Q19" s="85">
        <v>1</v>
      </c>
      <c r="R19" s="85">
        <v>1</v>
      </c>
      <c r="S19" s="85">
        <v>1</v>
      </c>
      <c r="T19" s="85">
        <v>1</v>
      </c>
      <c r="U19" s="85">
        <v>1</v>
      </c>
      <c r="V19" s="85">
        <v>1</v>
      </c>
      <c r="W19" s="85">
        <v>1</v>
      </c>
      <c r="X19" s="85">
        <v>1</v>
      </c>
      <c r="Y19" s="85">
        <v>1</v>
      </c>
      <c r="Z19" s="85">
        <v>1</v>
      </c>
      <c r="AA19" s="85">
        <v>1</v>
      </c>
      <c r="AB19" s="85">
        <v>1</v>
      </c>
      <c r="AC19" s="85">
        <v>1</v>
      </c>
      <c r="AD19" s="85">
        <v>1</v>
      </c>
      <c r="AE19" s="84">
        <v>1</v>
      </c>
      <c r="AF19" s="85">
        <v>1</v>
      </c>
      <c r="AG19" s="85">
        <v>1</v>
      </c>
      <c r="AH19" s="85">
        <v>1</v>
      </c>
      <c r="AI19" s="85">
        <v>1</v>
      </c>
      <c r="AJ19" s="85">
        <v>1</v>
      </c>
      <c r="AK19" s="85">
        <v>1</v>
      </c>
      <c r="AL19" s="85">
        <v>1</v>
      </c>
      <c r="AM19" s="85">
        <v>1</v>
      </c>
      <c r="AN19" s="85">
        <v>1</v>
      </c>
      <c r="AO19" s="85">
        <v>1</v>
      </c>
      <c r="AP19" s="85">
        <v>1</v>
      </c>
      <c r="AQ19" s="85">
        <v>1</v>
      </c>
      <c r="AR19" s="85">
        <v>1</v>
      </c>
      <c r="AS19" s="85">
        <v>1</v>
      </c>
      <c r="AT19" s="85">
        <v>1</v>
      </c>
      <c r="AU19" s="85">
        <v>1</v>
      </c>
      <c r="AV19" s="85">
        <v>1</v>
      </c>
      <c r="AW19" s="85">
        <v>1</v>
      </c>
      <c r="AX19" s="85">
        <v>1</v>
      </c>
      <c r="AY19" s="85">
        <v>1</v>
      </c>
      <c r="AZ19" s="85">
        <v>1</v>
      </c>
      <c r="BA19" s="85">
        <v>1</v>
      </c>
      <c r="BB19" s="85">
        <v>1</v>
      </c>
      <c r="BC19" s="84">
        <v>1</v>
      </c>
      <c r="BD19" s="85">
        <v>1</v>
      </c>
      <c r="BE19" s="85">
        <v>1</v>
      </c>
      <c r="BF19" s="85">
        <v>1</v>
      </c>
      <c r="BG19" s="85">
        <v>1</v>
      </c>
      <c r="BH19" s="85">
        <v>1</v>
      </c>
      <c r="BI19" s="85">
        <v>1</v>
      </c>
      <c r="BJ19" s="85">
        <v>1</v>
      </c>
      <c r="BK19" s="85">
        <v>1</v>
      </c>
      <c r="BL19" s="85">
        <v>1</v>
      </c>
      <c r="BM19" s="85">
        <v>1</v>
      </c>
      <c r="BN19" s="85">
        <v>1</v>
      </c>
      <c r="BO19" s="85">
        <v>1</v>
      </c>
      <c r="BP19" s="85">
        <v>1</v>
      </c>
      <c r="BQ19" s="85">
        <v>1</v>
      </c>
      <c r="BR19" s="85">
        <v>1</v>
      </c>
      <c r="BS19" s="85">
        <v>1</v>
      </c>
      <c r="BT19" s="85">
        <v>1</v>
      </c>
      <c r="BU19" s="85">
        <v>1</v>
      </c>
      <c r="BV19" s="85">
        <v>1</v>
      </c>
      <c r="BW19" s="85">
        <v>1</v>
      </c>
      <c r="BX19" s="85">
        <v>1</v>
      </c>
      <c r="BY19" s="85">
        <v>1</v>
      </c>
      <c r="BZ19" s="85">
        <v>1</v>
      </c>
      <c r="CA19" s="84">
        <v>1</v>
      </c>
      <c r="CB19" s="85">
        <v>1</v>
      </c>
      <c r="CC19" s="85">
        <v>1</v>
      </c>
      <c r="CD19" s="85">
        <v>1</v>
      </c>
      <c r="CE19" s="85">
        <v>1</v>
      </c>
      <c r="CF19" s="85">
        <v>1</v>
      </c>
      <c r="CG19" s="85">
        <v>1</v>
      </c>
      <c r="CH19" s="85">
        <v>1</v>
      </c>
      <c r="CI19" s="85">
        <v>1</v>
      </c>
      <c r="CJ19" s="85">
        <v>1</v>
      </c>
      <c r="CK19" s="85">
        <v>1</v>
      </c>
      <c r="CL19" s="85">
        <v>1</v>
      </c>
      <c r="CM19" s="85">
        <v>1</v>
      </c>
      <c r="CN19" s="85">
        <v>1</v>
      </c>
      <c r="CO19" s="85">
        <v>1</v>
      </c>
      <c r="CP19" s="85">
        <v>1</v>
      </c>
      <c r="CQ19" s="85">
        <v>1</v>
      </c>
      <c r="CR19" s="85">
        <v>1</v>
      </c>
      <c r="CS19" s="85">
        <v>1</v>
      </c>
      <c r="CT19" s="85">
        <v>1</v>
      </c>
      <c r="CU19" s="85">
        <v>1</v>
      </c>
      <c r="CV19" s="85">
        <v>1</v>
      </c>
      <c r="CW19" s="85">
        <v>1</v>
      </c>
      <c r="CX19" s="85">
        <v>1</v>
      </c>
      <c r="CY19" s="84">
        <v>1</v>
      </c>
      <c r="CZ19" s="85">
        <v>1</v>
      </c>
      <c r="DA19" s="85">
        <v>1</v>
      </c>
      <c r="DB19" s="85">
        <v>1</v>
      </c>
      <c r="DC19" s="85">
        <v>1</v>
      </c>
      <c r="DD19" s="85">
        <v>1</v>
      </c>
      <c r="DE19" s="85">
        <v>1</v>
      </c>
      <c r="DF19" s="85">
        <v>1</v>
      </c>
      <c r="DG19" s="85">
        <v>1</v>
      </c>
      <c r="DH19" s="85">
        <v>1</v>
      </c>
      <c r="DI19" s="85">
        <v>1</v>
      </c>
      <c r="DJ19" s="85">
        <v>1</v>
      </c>
      <c r="DK19" s="85">
        <v>1</v>
      </c>
      <c r="DL19" s="85">
        <v>1</v>
      </c>
      <c r="DM19" s="85">
        <v>1</v>
      </c>
      <c r="DN19" s="85">
        <v>1</v>
      </c>
      <c r="DO19" s="85">
        <v>1</v>
      </c>
      <c r="DP19" s="85">
        <v>1</v>
      </c>
      <c r="DQ19" s="85">
        <v>1</v>
      </c>
      <c r="DR19" s="85">
        <v>1</v>
      </c>
      <c r="DS19" s="85">
        <v>1</v>
      </c>
      <c r="DT19" s="85">
        <v>1</v>
      </c>
      <c r="DU19" s="85">
        <v>1</v>
      </c>
      <c r="DV19" s="85">
        <v>1</v>
      </c>
      <c r="DW19" s="84">
        <v>1</v>
      </c>
      <c r="DX19" s="85">
        <v>1</v>
      </c>
      <c r="DY19" s="85">
        <v>1</v>
      </c>
      <c r="DZ19" s="85">
        <v>1</v>
      </c>
      <c r="EA19" s="85">
        <v>1</v>
      </c>
      <c r="EB19" s="85">
        <v>1</v>
      </c>
      <c r="EC19" s="85">
        <v>1</v>
      </c>
      <c r="ED19" s="85">
        <v>1</v>
      </c>
      <c r="EE19" s="85">
        <v>1</v>
      </c>
      <c r="EF19" s="85">
        <v>1</v>
      </c>
      <c r="EG19" s="85">
        <v>1</v>
      </c>
      <c r="EH19" s="85">
        <v>1</v>
      </c>
      <c r="EI19" s="85">
        <v>1</v>
      </c>
      <c r="EJ19" s="85">
        <v>1</v>
      </c>
      <c r="EK19" s="85">
        <v>1</v>
      </c>
      <c r="EL19" s="85">
        <v>1</v>
      </c>
      <c r="EM19" s="85">
        <v>1</v>
      </c>
      <c r="EN19" s="85">
        <v>1</v>
      </c>
      <c r="EO19" s="85">
        <v>1</v>
      </c>
      <c r="EP19" s="85">
        <v>1</v>
      </c>
      <c r="EQ19" s="85">
        <v>1</v>
      </c>
      <c r="ER19" s="85">
        <v>1</v>
      </c>
      <c r="ES19" s="85">
        <v>1</v>
      </c>
      <c r="ET19" s="85">
        <v>1</v>
      </c>
      <c r="EU19" s="84">
        <v>1</v>
      </c>
      <c r="EV19" s="85">
        <v>1</v>
      </c>
      <c r="EW19" s="85">
        <v>1</v>
      </c>
      <c r="EX19" s="85">
        <v>1</v>
      </c>
      <c r="EY19" s="85">
        <v>1</v>
      </c>
      <c r="EZ19" s="85">
        <v>1</v>
      </c>
      <c r="FA19" s="85">
        <v>1</v>
      </c>
      <c r="FB19" s="85">
        <v>1</v>
      </c>
      <c r="FC19" s="85">
        <v>1</v>
      </c>
      <c r="FD19" s="85">
        <v>1</v>
      </c>
      <c r="FE19" s="85">
        <v>1</v>
      </c>
      <c r="FF19" s="85">
        <v>1</v>
      </c>
      <c r="FG19" s="85">
        <v>1</v>
      </c>
      <c r="FH19" s="85">
        <v>1</v>
      </c>
      <c r="FI19" s="85">
        <v>1</v>
      </c>
      <c r="FJ19" s="85">
        <v>1</v>
      </c>
      <c r="FK19" s="85">
        <v>1</v>
      </c>
      <c r="FL19" s="85">
        <v>1</v>
      </c>
      <c r="FM19" s="85">
        <v>1</v>
      </c>
      <c r="FN19" s="85">
        <v>1</v>
      </c>
      <c r="FO19" s="85">
        <v>1</v>
      </c>
      <c r="FP19" s="85">
        <v>1</v>
      </c>
      <c r="FQ19" s="85">
        <v>1</v>
      </c>
      <c r="FR19" s="85">
        <v>1</v>
      </c>
      <c r="FS19" s="84">
        <v>1</v>
      </c>
      <c r="FT19" s="85">
        <v>1</v>
      </c>
      <c r="FU19" s="85">
        <v>1</v>
      </c>
      <c r="FV19" s="85">
        <v>1</v>
      </c>
      <c r="FW19" s="85">
        <v>1</v>
      </c>
      <c r="FX19" s="85">
        <v>1</v>
      </c>
      <c r="FY19" s="85">
        <v>1</v>
      </c>
      <c r="FZ19" s="85">
        <v>1</v>
      </c>
      <c r="GA19" s="85">
        <v>1</v>
      </c>
      <c r="GB19" s="85">
        <v>1</v>
      </c>
      <c r="GC19" s="85">
        <v>1</v>
      </c>
      <c r="GD19" s="85">
        <v>1</v>
      </c>
      <c r="GE19" s="85">
        <v>1</v>
      </c>
      <c r="GF19" s="85">
        <v>1</v>
      </c>
      <c r="GG19" s="85">
        <v>1</v>
      </c>
      <c r="GH19" s="85">
        <v>1</v>
      </c>
      <c r="GI19" s="85">
        <v>1</v>
      </c>
      <c r="GJ19" s="85">
        <v>1</v>
      </c>
      <c r="GK19" s="85">
        <v>1</v>
      </c>
      <c r="GL19" s="85">
        <v>1</v>
      </c>
      <c r="GM19" s="85">
        <v>1</v>
      </c>
      <c r="GN19" s="85">
        <v>1</v>
      </c>
      <c r="GO19" s="85">
        <v>1</v>
      </c>
      <c r="GP19" s="85">
        <v>1</v>
      </c>
      <c r="GQ19" s="84">
        <v>1</v>
      </c>
      <c r="GR19" s="85">
        <v>1</v>
      </c>
      <c r="GS19" s="85">
        <v>1</v>
      </c>
      <c r="GT19" s="85">
        <v>1</v>
      </c>
      <c r="GU19" s="85">
        <v>1</v>
      </c>
      <c r="GV19" s="85">
        <v>1</v>
      </c>
      <c r="GW19" s="85">
        <v>1</v>
      </c>
      <c r="GX19" s="85">
        <v>1</v>
      </c>
      <c r="GY19" s="85">
        <v>1</v>
      </c>
      <c r="GZ19" s="85">
        <v>1</v>
      </c>
      <c r="HA19" s="85">
        <v>1</v>
      </c>
      <c r="HB19" s="85">
        <v>1</v>
      </c>
      <c r="HC19" s="85">
        <v>1</v>
      </c>
      <c r="HD19" s="85">
        <v>1</v>
      </c>
      <c r="HE19" s="85">
        <v>1</v>
      </c>
      <c r="HF19" s="85">
        <v>1</v>
      </c>
      <c r="HG19" s="85">
        <v>1</v>
      </c>
      <c r="HH19" s="85">
        <v>1</v>
      </c>
      <c r="HI19" s="85">
        <v>1</v>
      </c>
      <c r="HJ19" s="85">
        <v>1</v>
      </c>
      <c r="HK19" s="85">
        <v>1</v>
      </c>
      <c r="HL19" s="85">
        <v>1</v>
      </c>
      <c r="HM19" s="85">
        <v>1</v>
      </c>
      <c r="HN19" s="85">
        <v>1</v>
      </c>
      <c r="HO19" s="85">
        <v>1</v>
      </c>
      <c r="HP19" s="85">
        <v>1</v>
      </c>
      <c r="HQ19" s="85">
        <v>1</v>
      </c>
      <c r="HR19" s="85">
        <v>1</v>
      </c>
      <c r="HS19" s="85">
        <v>1</v>
      </c>
      <c r="HT19" s="85">
        <v>1</v>
      </c>
      <c r="HU19" s="85">
        <v>1</v>
      </c>
      <c r="HV19" s="85">
        <v>1</v>
      </c>
      <c r="HW19" s="85">
        <v>1</v>
      </c>
      <c r="HX19" s="86">
        <v>1</v>
      </c>
    </row>
    <row r="20" spans="1:232" x14ac:dyDescent="0.2">
      <c r="B20" s="80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78">
        <v>0</v>
      </c>
      <c r="H20" s="74">
        <v>0</v>
      </c>
      <c r="I20" s="74">
        <v>0</v>
      </c>
      <c r="J20" s="74">
        <v>0</v>
      </c>
      <c r="K20" s="74">
        <v>0</v>
      </c>
      <c r="L20" s="74">
        <v>0</v>
      </c>
      <c r="M20" s="74">
        <v>0</v>
      </c>
      <c r="N20" s="74">
        <v>0</v>
      </c>
      <c r="O20" s="74">
        <v>0</v>
      </c>
      <c r="P20" s="74">
        <v>0</v>
      </c>
      <c r="Q20" s="74">
        <v>0</v>
      </c>
      <c r="R20" s="74">
        <v>0</v>
      </c>
      <c r="S20" s="74">
        <v>0</v>
      </c>
      <c r="T20" s="74">
        <v>0</v>
      </c>
      <c r="U20" s="74">
        <v>0</v>
      </c>
      <c r="V20" s="74">
        <v>0</v>
      </c>
      <c r="W20" s="74">
        <v>0</v>
      </c>
      <c r="X20" s="74">
        <v>0</v>
      </c>
      <c r="Y20" s="74">
        <v>0</v>
      </c>
      <c r="Z20" s="74">
        <v>0</v>
      </c>
      <c r="AA20" s="74">
        <v>0</v>
      </c>
      <c r="AB20" s="74">
        <v>0</v>
      </c>
      <c r="AC20" s="74">
        <v>0</v>
      </c>
      <c r="AD20" s="74">
        <v>0</v>
      </c>
      <c r="AE20" s="78">
        <v>0</v>
      </c>
      <c r="AF20" s="74">
        <v>0</v>
      </c>
      <c r="AG20" s="74">
        <v>0</v>
      </c>
      <c r="AH20" s="74">
        <v>0</v>
      </c>
      <c r="AI20" s="74">
        <v>0</v>
      </c>
      <c r="AJ20" s="74">
        <v>0</v>
      </c>
      <c r="AK20" s="74">
        <v>0</v>
      </c>
      <c r="AL20" s="74">
        <v>0</v>
      </c>
      <c r="AM20" s="74">
        <v>0</v>
      </c>
      <c r="AN20" s="74">
        <v>0</v>
      </c>
      <c r="AO20" s="74">
        <v>0</v>
      </c>
      <c r="AP20" s="74">
        <v>0</v>
      </c>
      <c r="AQ20" s="74">
        <v>0</v>
      </c>
      <c r="AR20" s="74">
        <v>0</v>
      </c>
      <c r="AS20" s="74">
        <v>0</v>
      </c>
      <c r="AT20" s="74">
        <v>0</v>
      </c>
      <c r="AU20" s="74">
        <v>0</v>
      </c>
      <c r="AV20" s="74">
        <v>0</v>
      </c>
      <c r="AW20" s="74">
        <v>0</v>
      </c>
      <c r="AX20" s="74">
        <v>0</v>
      </c>
      <c r="AY20" s="74">
        <v>0</v>
      </c>
      <c r="AZ20" s="74">
        <v>0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">
      <c r="B21" s="103" t="s">
        <v>67</v>
      </c>
      <c r="C21" s="108" t="s">
        <v>132</v>
      </c>
      <c r="D21" s="109">
        <v>5.2</v>
      </c>
      <c r="E21" s="108" t="s">
        <v>128</v>
      </c>
      <c r="F21" s="108" t="s">
        <v>124</v>
      </c>
      <c r="G21" s="78">
        <v>1</v>
      </c>
      <c r="H21" s="74">
        <v>1</v>
      </c>
      <c r="I21" s="74">
        <v>1</v>
      </c>
      <c r="J21" s="74">
        <v>1</v>
      </c>
      <c r="K21" s="74">
        <v>1</v>
      </c>
      <c r="L21" s="74">
        <v>1</v>
      </c>
      <c r="M21" s="74">
        <v>1</v>
      </c>
      <c r="N21" s="74">
        <v>1</v>
      </c>
      <c r="O21" s="74">
        <v>1</v>
      </c>
      <c r="P21" s="74">
        <v>1</v>
      </c>
      <c r="Q21" s="74">
        <v>1</v>
      </c>
      <c r="R21" s="74">
        <v>1</v>
      </c>
      <c r="S21" s="74">
        <v>1</v>
      </c>
      <c r="T21" s="74">
        <v>1</v>
      </c>
      <c r="U21" s="74">
        <v>1</v>
      </c>
      <c r="V21" s="74">
        <v>1</v>
      </c>
      <c r="W21" s="74">
        <v>1</v>
      </c>
      <c r="X21" s="74">
        <v>1</v>
      </c>
      <c r="Y21" s="74">
        <v>1</v>
      </c>
      <c r="Z21" s="74">
        <v>1</v>
      </c>
      <c r="AA21" s="74">
        <v>1</v>
      </c>
      <c r="AB21" s="74">
        <v>1</v>
      </c>
      <c r="AC21" s="74">
        <v>1</v>
      </c>
      <c r="AD21" s="74">
        <v>1</v>
      </c>
      <c r="AE21" s="78">
        <v>1</v>
      </c>
      <c r="AF21" s="74">
        <v>1</v>
      </c>
      <c r="AG21" s="74">
        <v>1</v>
      </c>
      <c r="AH21" s="74">
        <v>1</v>
      </c>
      <c r="AI21" s="74">
        <v>1</v>
      </c>
      <c r="AJ21" s="74">
        <v>1</v>
      </c>
      <c r="AK21" s="74">
        <v>1</v>
      </c>
      <c r="AL21" s="74">
        <v>1</v>
      </c>
      <c r="AM21" s="74">
        <v>1</v>
      </c>
      <c r="AN21" s="74">
        <v>1</v>
      </c>
      <c r="AO21" s="74">
        <v>1</v>
      </c>
      <c r="AP21" s="74">
        <v>1</v>
      </c>
      <c r="AQ21" s="74">
        <v>1</v>
      </c>
      <c r="AR21" s="74">
        <v>1</v>
      </c>
      <c r="AS21" s="74">
        <v>1</v>
      </c>
      <c r="AT21" s="74">
        <v>1</v>
      </c>
      <c r="AU21" s="74">
        <v>1</v>
      </c>
      <c r="AV21" s="74">
        <v>1</v>
      </c>
      <c r="AW21" s="74">
        <v>1</v>
      </c>
      <c r="AX21" s="74">
        <v>1</v>
      </c>
      <c r="AY21" s="74">
        <v>1</v>
      </c>
      <c r="AZ21" s="74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">
      <c r="B22" s="108" t="s">
        <v>68</v>
      </c>
      <c r="C22" s="108" t="s">
        <v>131</v>
      </c>
      <c r="D22" s="109">
        <v>5.2</v>
      </c>
      <c r="E22" s="108" t="s">
        <v>128</v>
      </c>
      <c r="F22" s="108" t="s">
        <v>124</v>
      </c>
      <c r="G22" s="78">
        <v>1</v>
      </c>
      <c r="H22" s="74">
        <v>1</v>
      </c>
      <c r="I22" s="74">
        <v>1</v>
      </c>
      <c r="J22" s="74">
        <v>1</v>
      </c>
      <c r="K22" s="74">
        <v>1</v>
      </c>
      <c r="L22" s="74">
        <v>1</v>
      </c>
      <c r="M22" s="74">
        <v>1</v>
      </c>
      <c r="N22" s="74">
        <v>1</v>
      </c>
      <c r="O22" s="74">
        <v>1</v>
      </c>
      <c r="P22" s="74">
        <v>1</v>
      </c>
      <c r="Q22" s="74">
        <v>1</v>
      </c>
      <c r="R22" s="74">
        <v>1</v>
      </c>
      <c r="S22" s="74">
        <v>1</v>
      </c>
      <c r="T22" s="74">
        <v>1</v>
      </c>
      <c r="U22" s="74">
        <v>1</v>
      </c>
      <c r="V22" s="74">
        <v>1</v>
      </c>
      <c r="W22" s="74">
        <v>1</v>
      </c>
      <c r="X22" s="74">
        <v>1</v>
      </c>
      <c r="Y22" s="74">
        <v>1</v>
      </c>
      <c r="Z22" s="74">
        <v>1</v>
      </c>
      <c r="AA22" s="74">
        <v>1</v>
      </c>
      <c r="AB22" s="74">
        <v>1</v>
      </c>
      <c r="AC22" s="74">
        <v>1</v>
      </c>
      <c r="AD22" s="74">
        <v>1</v>
      </c>
      <c r="AE22" s="78">
        <v>1</v>
      </c>
      <c r="AF22" s="74">
        <v>1</v>
      </c>
      <c r="AG22" s="74">
        <v>1</v>
      </c>
      <c r="AH22" s="74">
        <v>1</v>
      </c>
      <c r="AI22" s="74">
        <v>1</v>
      </c>
      <c r="AJ22" s="74">
        <v>1</v>
      </c>
      <c r="AK22" s="74">
        <v>1</v>
      </c>
      <c r="AL22" s="74">
        <v>1</v>
      </c>
      <c r="AM22" s="74">
        <v>1</v>
      </c>
      <c r="AN22" s="74">
        <v>1</v>
      </c>
      <c r="AO22" s="74">
        <v>1</v>
      </c>
      <c r="AP22" s="74">
        <v>1</v>
      </c>
      <c r="AQ22" s="74">
        <v>1</v>
      </c>
      <c r="AR22" s="74">
        <v>1</v>
      </c>
      <c r="AS22" s="74">
        <v>1</v>
      </c>
      <c r="AT22" s="74">
        <v>1</v>
      </c>
      <c r="AU22" s="74">
        <v>1</v>
      </c>
      <c r="AV22" s="74">
        <v>1</v>
      </c>
      <c r="AW22" s="74">
        <v>1</v>
      </c>
      <c r="AX22" s="74">
        <v>1</v>
      </c>
      <c r="AY22" s="74">
        <v>1</v>
      </c>
      <c r="AZ22" s="74">
        <v>1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">
      <c r="B23" s="80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78">
        <v>1</v>
      </c>
      <c r="H23" s="78">
        <v>1</v>
      </c>
      <c r="I23" s="78">
        <v>1</v>
      </c>
      <c r="J23" s="78">
        <v>1</v>
      </c>
      <c r="K23" s="78">
        <v>1</v>
      </c>
      <c r="L23" s="78">
        <v>1</v>
      </c>
      <c r="M23" s="78">
        <v>1</v>
      </c>
      <c r="N23" s="78">
        <v>1</v>
      </c>
      <c r="O23" s="78">
        <v>1</v>
      </c>
      <c r="P23" s="78">
        <v>1</v>
      </c>
      <c r="Q23" s="78">
        <v>1</v>
      </c>
      <c r="R23" s="78">
        <v>1</v>
      </c>
      <c r="S23" s="78">
        <v>1</v>
      </c>
      <c r="T23" s="78">
        <v>1</v>
      </c>
      <c r="U23" s="78">
        <v>1</v>
      </c>
      <c r="V23" s="78">
        <v>1</v>
      </c>
      <c r="W23" s="78">
        <v>1</v>
      </c>
      <c r="X23" s="78">
        <v>1</v>
      </c>
      <c r="Y23" s="78">
        <v>1</v>
      </c>
      <c r="Z23" s="78">
        <v>1</v>
      </c>
      <c r="AA23" s="78">
        <v>1</v>
      </c>
      <c r="AB23" s="78">
        <v>1</v>
      </c>
      <c r="AC23" s="78">
        <v>1</v>
      </c>
      <c r="AD23" s="74">
        <v>1</v>
      </c>
      <c r="AE23" s="78">
        <v>1</v>
      </c>
      <c r="AF23" s="78">
        <v>1</v>
      </c>
      <c r="AG23" s="78">
        <v>1</v>
      </c>
      <c r="AH23" s="78">
        <v>1</v>
      </c>
      <c r="AI23" s="78">
        <v>1</v>
      </c>
      <c r="AJ23" s="78">
        <v>1</v>
      </c>
      <c r="AK23" s="78">
        <v>1</v>
      </c>
      <c r="AL23" s="78">
        <v>1</v>
      </c>
      <c r="AM23" s="78">
        <v>1</v>
      </c>
      <c r="AN23" s="78">
        <v>1</v>
      </c>
      <c r="AO23" s="78">
        <v>1</v>
      </c>
      <c r="AP23" s="78">
        <v>1</v>
      </c>
      <c r="AQ23" s="78">
        <v>1</v>
      </c>
      <c r="AR23" s="78">
        <v>1</v>
      </c>
      <c r="AS23" s="78">
        <v>1</v>
      </c>
      <c r="AT23" s="78">
        <v>1</v>
      </c>
      <c r="AU23" s="78">
        <v>1</v>
      </c>
      <c r="AV23" s="78">
        <v>1</v>
      </c>
      <c r="AW23" s="78">
        <v>1</v>
      </c>
      <c r="AX23" s="78">
        <v>1</v>
      </c>
      <c r="AY23" s="78">
        <v>1</v>
      </c>
      <c r="AZ23" s="78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">
      <c r="B24" s="80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78">
        <v>1</v>
      </c>
      <c r="H24" s="78">
        <v>1</v>
      </c>
      <c r="I24" s="78">
        <v>1</v>
      </c>
      <c r="J24" s="78">
        <v>1</v>
      </c>
      <c r="K24" s="78">
        <v>1</v>
      </c>
      <c r="L24" s="78">
        <v>1</v>
      </c>
      <c r="M24" s="78">
        <v>1</v>
      </c>
      <c r="N24" s="78">
        <v>1</v>
      </c>
      <c r="O24" s="78">
        <v>1</v>
      </c>
      <c r="P24" s="78">
        <v>1</v>
      </c>
      <c r="Q24" s="78">
        <v>1</v>
      </c>
      <c r="R24" s="78">
        <v>1</v>
      </c>
      <c r="S24" s="78">
        <v>1</v>
      </c>
      <c r="T24" s="78">
        <v>1</v>
      </c>
      <c r="U24" s="78">
        <v>1</v>
      </c>
      <c r="V24" s="78">
        <v>1</v>
      </c>
      <c r="W24" s="78">
        <v>1</v>
      </c>
      <c r="X24" s="78">
        <v>1</v>
      </c>
      <c r="Y24" s="78">
        <v>1</v>
      </c>
      <c r="Z24" s="78">
        <v>1</v>
      </c>
      <c r="AA24" s="78">
        <v>1</v>
      </c>
      <c r="AB24" s="78">
        <v>1</v>
      </c>
      <c r="AC24" s="78">
        <v>1</v>
      </c>
      <c r="AD24" s="74">
        <v>1</v>
      </c>
      <c r="AE24" s="78">
        <v>1</v>
      </c>
      <c r="AF24" s="78">
        <v>1</v>
      </c>
      <c r="AG24" s="78">
        <v>1</v>
      </c>
      <c r="AH24" s="78">
        <v>1</v>
      </c>
      <c r="AI24" s="78">
        <v>1</v>
      </c>
      <c r="AJ24" s="78">
        <v>1</v>
      </c>
      <c r="AK24" s="78">
        <v>1</v>
      </c>
      <c r="AL24" s="78">
        <v>1</v>
      </c>
      <c r="AM24" s="78">
        <v>1</v>
      </c>
      <c r="AN24" s="78">
        <v>1</v>
      </c>
      <c r="AO24" s="78">
        <v>1</v>
      </c>
      <c r="AP24" s="78">
        <v>1</v>
      </c>
      <c r="AQ24" s="78">
        <v>1</v>
      </c>
      <c r="AR24" s="78">
        <v>1</v>
      </c>
      <c r="AS24" s="78">
        <v>1</v>
      </c>
      <c r="AT24" s="78">
        <v>1</v>
      </c>
      <c r="AU24" s="78">
        <v>1</v>
      </c>
      <c r="AV24" s="78">
        <v>1</v>
      </c>
      <c r="AW24" s="78">
        <v>1</v>
      </c>
      <c r="AX24" s="78">
        <v>1</v>
      </c>
      <c r="AY24" s="78">
        <v>1</v>
      </c>
      <c r="AZ24" s="78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">
      <c r="B25" s="80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78">
        <v>0</v>
      </c>
      <c r="H25" s="74">
        <v>0</v>
      </c>
      <c r="I25" s="74">
        <v>0</v>
      </c>
      <c r="J25" s="74">
        <v>0</v>
      </c>
      <c r="K25" s="74">
        <v>0</v>
      </c>
      <c r="L25" s="74">
        <v>0</v>
      </c>
      <c r="M25" s="74">
        <v>0</v>
      </c>
      <c r="N25" s="74">
        <v>0</v>
      </c>
      <c r="O25" s="74">
        <v>0</v>
      </c>
      <c r="P25" s="74">
        <v>0</v>
      </c>
      <c r="Q25" s="74">
        <v>0</v>
      </c>
      <c r="R25" s="74">
        <v>0</v>
      </c>
      <c r="S25" s="74">
        <v>0</v>
      </c>
      <c r="T25" s="74">
        <v>0</v>
      </c>
      <c r="U25" s="74">
        <v>0</v>
      </c>
      <c r="V25" s="74">
        <v>0</v>
      </c>
      <c r="W25" s="74">
        <v>0</v>
      </c>
      <c r="X25" s="74">
        <v>0</v>
      </c>
      <c r="Y25" s="74">
        <v>0</v>
      </c>
      <c r="Z25" s="74">
        <v>0</v>
      </c>
      <c r="AA25" s="74">
        <v>0</v>
      </c>
      <c r="AB25" s="74">
        <v>0</v>
      </c>
      <c r="AC25" s="74">
        <v>0</v>
      </c>
      <c r="AD25" s="74">
        <v>0</v>
      </c>
      <c r="AE25" s="78">
        <v>0</v>
      </c>
      <c r="AF25" s="74">
        <v>0</v>
      </c>
      <c r="AG25" s="74">
        <v>0</v>
      </c>
      <c r="AH25" s="74">
        <v>0</v>
      </c>
      <c r="AI25" s="74">
        <v>0</v>
      </c>
      <c r="AJ25" s="74">
        <v>0</v>
      </c>
      <c r="AK25" s="74">
        <v>0</v>
      </c>
      <c r="AL25" s="74">
        <v>0</v>
      </c>
      <c r="AM25" s="74">
        <v>0</v>
      </c>
      <c r="AN25" s="74">
        <v>0</v>
      </c>
      <c r="AO25" s="74">
        <v>0</v>
      </c>
      <c r="AP25" s="74">
        <v>0</v>
      </c>
      <c r="AQ25" s="74">
        <v>0</v>
      </c>
      <c r="AR25" s="74">
        <v>0</v>
      </c>
      <c r="AS25" s="74">
        <v>0</v>
      </c>
      <c r="AT25" s="74">
        <v>0</v>
      </c>
      <c r="AU25" s="74">
        <v>0</v>
      </c>
      <c r="AV25" s="74">
        <v>0</v>
      </c>
      <c r="AW25" s="74">
        <v>0</v>
      </c>
      <c r="AX25" s="74">
        <v>0</v>
      </c>
      <c r="AY25" s="74">
        <v>0</v>
      </c>
      <c r="AZ25" s="74">
        <v>0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">
      <c r="B26" s="80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78">
        <v>0</v>
      </c>
      <c r="H26" s="74">
        <v>0</v>
      </c>
      <c r="I26" s="74">
        <v>0</v>
      </c>
      <c r="J26" s="74">
        <v>0</v>
      </c>
      <c r="K26" s="74">
        <v>0</v>
      </c>
      <c r="L26" s="74">
        <v>0</v>
      </c>
      <c r="M26" s="74">
        <v>0</v>
      </c>
      <c r="N26" s="74">
        <v>0</v>
      </c>
      <c r="O26" s="74">
        <v>0</v>
      </c>
      <c r="P26" s="74">
        <v>0</v>
      </c>
      <c r="Q26" s="74">
        <v>0</v>
      </c>
      <c r="R26" s="74">
        <v>0</v>
      </c>
      <c r="S26" s="74">
        <v>0</v>
      </c>
      <c r="T26" s="74">
        <v>0</v>
      </c>
      <c r="U26" s="74">
        <v>0</v>
      </c>
      <c r="V26" s="74">
        <v>0</v>
      </c>
      <c r="W26" s="74">
        <v>0</v>
      </c>
      <c r="X26" s="74">
        <v>0</v>
      </c>
      <c r="Y26" s="74">
        <v>0</v>
      </c>
      <c r="Z26" s="74">
        <v>0</v>
      </c>
      <c r="AA26" s="74">
        <v>0</v>
      </c>
      <c r="AB26" s="74">
        <v>0</v>
      </c>
      <c r="AC26" s="74">
        <v>0</v>
      </c>
      <c r="AD26" s="74">
        <v>0</v>
      </c>
      <c r="AE26" s="78">
        <v>0</v>
      </c>
      <c r="AF26" s="74">
        <v>0</v>
      </c>
      <c r="AG26" s="74">
        <v>0</v>
      </c>
      <c r="AH26" s="74">
        <v>0</v>
      </c>
      <c r="AI26" s="74">
        <v>0</v>
      </c>
      <c r="AJ26" s="74">
        <v>0</v>
      </c>
      <c r="AK26" s="74">
        <v>0</v>
      </c>
      <c r="AL26" s="74">
        <v>0</v>
      </c>
      <c r="AM26" s="74">
        <v>0</v>
      </c>
      <c r="AN26" s="74">
        <v>0</v>
      </c>
      <c r="AO26" s="74">
        <v>0</v>
      </c>
      <c r="AP26" s="74">
        <v>0</v>
      </c>
      <c r="AQ26" s="74">
        <v>0</v>
      </c>
      <c r="AR26" s="74">
        <v>0</v>
      </c>
      <c r="AS26" s="74">
        <v>0</v>
      </c>
      <c r="AT26" s="74">
        <v>0</v>
      </c>
      <c r="AU26" s="74">
        <v>0</v>
      </c>
      <c r="AV26" s="74">
        <v>0</v>
      </c>
      <c r="AW26" s="74">
        <v>0</v>
      </c>
      <c r="AX26" s="74">
        <v>0</v>
      </c>
      <c r="AY26" s="74">
        <v>0</v>
      </c>
      <c r="AZ26" s="74">
        <v>0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">
      <c r="B27" s="80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78">
        <v>1</v>
      </c>
      <c r="H27" s="74">
        <v>1</v>
      </c>
      <c r="I27" s="74">
        <v>1</v>
      </c>
      <c r="J27" s="74">
        <v>1</v>
      </c>
      <c r="K27" s="74">
        <v>1</v>
      </c>
      <c r="L27" s="78">
        <v>1</v>
      </c>
      <c r="M27" s="78">
        <v>1</v>
      </c>
      <c r="N27" s="78">
        <v>1</v>
      </c>
      <c r="O27" s="78">
        <v>1</v>
      </c>
      <c r="P27" s="78">
        <v>1</v>
      </c>
      <c r="Q27" s="78">
        <v>1</v>
      </c>
      <c r="R27" s="78">
        <v>1</v>
      </c>
      <c r="S27" s="78">
        <v>1</v>
      </c>
      <c r="T27" s="78">
        <v>1</v>
      </c>
      <c r="U27" s="78">
        <v>1</v>
      </c>
      <c r="V27" s="78">
        <v>1</v>
      </c>
      <c r="W27" s="78">
        <v>1</v>
      </c>
      <c r="X27" s="74">
        <v>1</v>
      </c>
      <c r="Y27" s="74">
        <v>1</v>
      </c>
      <c r="Z27" s="74">
        <v>1</v>
      </c>
      <c r="AA27" s="74">
        <v>1</v>
      </c>
      <c r="AB27" s="74">
        <v>1</v>
      </c>
      <c r="AC27" s="74">
        <v>1</v>
      </c>
      <c r="AD27" s="74">
        <v>1</v>
      </c>
      <c r="AE27" s="78">
        <v>1</v>
      </c>
      <c r="AF27" s="74">
        <v>1</v>
      </c>
      <c r="AG27" s="74">
        <v>1</v>
      </c>
      <c r="AH27" s="74">
        <v>1</v>
      </c>
      <c r="AI27" s="74">
        <v>1</v>
      </c>
      <c r="AJ27" s="74">
        <v>1</v>
      </c>
      <c r="AK27" s="74">
        <v>1</v>
      </c>
      <c r="AL27" s="74">
        <v>1</v>
      </c>
      <c r="AM27" s="74">
        <v>1</v>
      </c>
      <c r="AN27" s="74">
        <v>1</v>
      </c>
      <c r="AO27" s="74">
        <v>1</v>
      </c>
      <c r="AP27" s="74">
        <v>1</v>
      </c>
      <c r="AQ27" s="74">
        <v>1</v>
      </c>
      <c r="AR27" s="74">
        <v>1</v>
      </c>
      <c r="AS27" s="74">
        <v>1</v>
      </c>
      <c r="AT27" s="74">
        <v>1</v>
      </c>
      <c r="AU27" s="74">
        <v>1</v>
      </c>
      <c r="AV27" s="74">
        <v>1</v>
      </c>
      <c r="AW27" s="74">
        <v>1</v>
      </c>
      <c r="AX27" s="74">
        <v>1</v>
      </c>
      <c r="AY27" s="74">
        <v>1</v>
      </c>
      <c r="AZ27" s="74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">
      <c r="A28" s="27" t="s">
        <v>122</v>
      </c>
      <c r="B28" s="82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78">
        <v>1</v>
      </c>
      <c r="H28" s="74">
        <v>1</v>
      </c>
      <c r="I28" s="74">
        <v>1</v>
      </c>
      <c r="J28" s="74">
        <v>1</v>
      </c>
      <c r="K28" s="74">
        <v>1</v>
      </c>
      <c r="L28" s="74">
        <v>1</v>
      </c>
      <c r="M28" s="74">
        <v>1</v>
      </c>
      <c r="N28" s="74">
        <v>1</v>
      </c>
      <c r="O28" s="74">
        <v>1</v>
      </c>
      <c r="P28" s="74">
        <v>1</v>
      </c>
      <c r="Q28" s="74">
        <v>1</v>
      </c>
      <c r="R28" s="74">
        <v>1</v>
      </c>
      <c r="S28" s="74">
        <v>1</v>
      </c>
      <c r="T28" s="74">
        <v>1</v>
      </c>
      <c r="U28" s="74">
        <v>1</v>
      </c>
      <c r="V28" s="74">
        <v>1</v>
      </c>
      <c r="W28" s="74">
        <v>1</v>
      </c>
      <c r="X28" s="74">
        <v>1</v>
      </c>
      <c r="Y28" s="74">
        <v>1</v>
      </c>
      <c r="Z28" s="74">
        <v>1</v>
      </c>
      <c r="AA28" s="74">
        <v>1</v>
      </c>
      <c r="AB28" s="74">
        <v>1</v>
      </c>
      <c r="AC28" s="74">
        <v>1</v>
      </c>
      <c r="AD28" s="74">
        <v>1</v>
      </c>
      <c r="AE28" s="78">
        <v>1</v>
      </c>
      <c r="AF28" s="74">
        <v>1</v>
      </c>
      <c r="AG28" s="74">
        <v>1</v>
      </c>
      <c r="AH28" s="74">
        <v>1</v>
      </c>
      <c r="AI28" s="74">
        <v>1</v>
      </c>
      <c r="AJ28" s="74">
        <v>1</v>
      </c>
      <c r="AK28" s="74">
        <v>1</v>
      </c>
      <c r="AL28" s="74">
        <v>1</v>
      </c>
      <c r="AM28" s="74">
        <v>1</v>
      </c>
      <c r="AN28" s="74">
        <v>1</v>
      </c>
      <c r="AO28" s="74">
        <v>1</v>
      </c>
      <c r="AP28" s="74">
        <v>1</v>
      </c>
      <c r="AQ28" s="74">
        <v>1</v>
      </c>
      <c r="AR28" s="74">
        <v>1</v>
      </c>
      <c r="AS28" s="74">
        <v>1</v>
      </c>
      <c r="AT28" s="74">
        <v>1</v>
      </c>
      <c r="AU28" s="74">
        <v>1</v>
      </c>
      <c r="AV28" s="74">
        <v>1</v>
      </c>
      <c r="AW28" s="74">
        <v>1</v>
      </c>
      <c r="AX28" s="74">
        <v>1</v>
      </c>
      <c r="AY28" s="74">
        <v>1</v>
      </c>
      <c r="AZ28" s="74">
        <v>1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">
      <c r="A29" s="27" t="s">
        <v>122</v>
      </c>
      <c r="B29" s="82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78">
        <v>0</v>
      </c>
      <c r="H29" s="74">
        <v>0</v>
      </c>
      <c r="I29" s="74">
        <v>0</v>
      </c>
      <c r="J29" s="74">
        <v>0</v>
      </c>
      <c r="K29" s="74">
        <v>0</v>
      </c>
      <c r="L29" s="74">
        <v>0</v>
      </c>
      <c r="M29" s="74">
        <v>0</v>
      </c>
      <c r="N29" s="74">
        <v>0</v>
      </c>
      <c r="O29" s="74">
        <v>0</v>
      </c>
      <c r="P29" s="74">
        <v>0</v>
      </c>
      <c r="Q29" s="74">
        <v>0</v>
      </c>
      <c r="R29" s="74">
        <v>0</v>
      </c>
      <c r="S29" s="74">
        <v>0</v>
      </c>
      <c r="T29" s="74">
        <v>0</v>
      </c>
      <c r="U29" s="74">
        <v>0</v>
      </c>
      <c r="V29" s="74">
        <v>0</v>
      </c>
      <c r="W29" s="74">
        <v>0</v>
      </c>
      <c r="X29" s="74">
        <v>0</v>
      </c>
      <c r="Y29" s="74">
        <v>0</v>
      </c>
      <c r="Z29" s="74">
        <v>0</v>
      </c>
      <c r="AA29" s="74">
        <v>0</v>
      </c>
      <c r="AB29" s="74">
        <v>0</v>
      </c>
      <c r="AC29" s="74">
        <v>0</v>
      </c>
      <c r="AD29" s="74">
        <v>0</v>
      </c>
      <c r="AE29" s="78">
        <v>0</v>
      </c>
      <c r="AF29" s="74">
        <v>0</v>
      </c>
      <c r="AG29" s="74">
        <v>0</v>
      </c>
      <c r="AH29" s="74">
        <v>0</v>
      </c>
      <c r="AI29" s="74">
        <v>0</v>
      </c>
      <c r="AJ29" s="74">
        <v>0</v>
      </c>
      <c r="AK29" s="74">
        <v>0</v>
      </c>
      <c r="AL29" s="74">
        <v>0</v>
      </c>
      <c r="AM29" s="74">
        <v>0</v>
      </c>
      <c r="AN29" s="74">
        <v>0</v>
      </c>
      <c r="AO29" s="74">
        <v>0</v>
      </c>
      <c r="AP29" s="74">
        <v>0</v>
      </c>
      <c r="AQ29" s="74">
        <v>0</v>
      </c>
      <c r="AR29" s="74">
        <v>0</v>
      </c>
      <c r="AS29" s="74">
        <v>0</v>
      </c>
      <c r="AT29" s="74">
        <v>0</v>
      </c>
      <c r="AU29" s="74">
        <v>0</v>
      </c>
      <c r="AV29" s="74">
        <v>0</v>
      </c>
      <c r="AW29" s="74">
        <v>0</v>
      </c>
      <c r="AX29" s="74">
        <v>0</v>
      </c>
      <c r="AY29" s="74">
        <v>0</v>
      </c>
      <c r="AZ29" s="74">
        <v>0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">
      <c r="A30" s="50" t="s">
        <v>124</v>
      </c>
      <c r="B30" s="82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78">
        <v>0</v>
      </c>
      <c r="H30" s="74">
        <v>0</v>
      </c>
      <c r="I30" s="74">
        <v>0</v>
      </c>
      <c r="J30" s="74">
        <v>0</v>
      </c>
      <c r="K30" s="74">
        <v>0</v>
      </c>
      <c r="L30" s="74">
        <v>0</v>
      </c>
      <c r="M30" s="74">
        <v>0</v>
      </c>
      <c r="N30" s="74">
        <v>0</v>
      </c>
      <c r="O30" s="74">
        <v>0</v>
      </c>
      <c r="P30" s="74">
        <v>0</v>
      </c>
      <c r="Q30" s="74">
        <v>0</v>
      </c>
      <c r="R30" s="74">
        <v>0</v>
      </c>
      <c r="S30" s="74">
        <v>0</v>
      </c>
      <c r="T30" s="74">
        <v>0</v>
      </c>
      <c r="U30" s="74">
        <v>0</v>
      </c>
      <c r="V30" s="74">
        <v>0</v>
      </c>
      <c r="W30" s="74">
        <v>0</v>
      </c>
      <c r="X30" s="74">
        <v>0</v>
      </c>
      <c r="Y30" s="74">
        <v>0</v>
      </c>
      <c r="Z30" s="74">
        <v>0</v>
      </c>
      <c r="AA30" s="74">
        <v>0</v>
      </c>
      <c r="AB30" s="74">
        <v>0</v>
      </c>
      <c r="AC30" s="74">
        <v>0</v>
      </c>
      <c r="AD30" s="74">
        <v>0</v>
      </c>
      <c r="AE30" s="78">
        <v>0</v>
      </c>
      <c r="AF30" s="74">
        <v>0</v>
      </c>
      <c r="AG30" s="74">
        <v>0</v>
      </c>
      <c r="AH30" s="74">
        <v>0</v>
      </c>
      <c r="AI30" s="74">
        <v>0</v>
      </c>
      <c r="AJ30" s="74">
        <v>0</v>
      </c>
      <c r="AK30" s="74">
        <v>0</v>
      </c>
      <c r="AL30" s="74">
        <v>0</v>
      </c>
      <c r="AM30" s="74">
        <v>0</v>
      </c>
      <c r="AN30" s="74">
        <v>0</v>
      </c>
      <c r="AO30" s="74">
        <v>0</v>
      </c>
      <c r="AP30" s="74">
        <v>0</v>
      </c>
      <c r="AQ30" s="74">
        <v>0</v>
      </c>
      <c r="AR30" s="74">
        <v>0</v>
      </c>
      <c r="AS30" s="74">
        <v>0</v>
      </c>
      <c r="AT30" s="74">
        <v>0</v>
      </c>
      <c r="AU30" s="74">
        <v>0</v>
      </c>
      <c r="AV30" s="74">
        <v>0</v>
      </c>
      <c r="AW30" s="74">
        <v>0</v>
      </c>
      <c r="AX30" s="74">
        <v>0</v>
      </c>
      <c r="AY30" s="74">
        <v>0</v>
      </c>
      <c r="AZ30" s="74">
        <v>0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">
      <c r="A31" s="50" t="s">
        <v>124</v>
      </c>
      <c r="B31" s="82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78">
        <v>0</v>
      </c>
      <c r="H31" s="74">
        <v>0</v>
      </c>
      <c r="I31" s="74">
        <v>0</v>
      </c>
      <c r="J31" s="74">
        <v>0</v>
      </c>
      <c r="K31" s="74">
        <v>0</v>
      </c>
      <c r="L31" s="74">
        <v>0</v>
      </c>
      <c r="M31" s="74">
        <v>0</v>
      </c>
      <c r="N31" s="74">
        <v>0</v>
      </c>
      <c r="O31" s="74">
        <v>0</v>
      </c>
      <c r="P31" s="74">
        <v>0</v>
      </c>
      <c r="Q31" s="74">
        <v>0</v>
      </c>
      <c r="R31" s="74">
        <v>0</v>
      </c>
      <c r="S31" s="74">
        <v>0</v>
      </c>
      <c r="T31" s="74">
        <v>0</v>
      </c>
      <c r="U31" s="74">
        <v>0</v>
      </c>
      <c r="V31" s="74">
        <v>0</v>
      </c>
      <c r="W31" s="74">
        <v>0</v>
      </c>
      <c r="X31" s="74">
        <v>0</v>
      </c>
      <c r="Y31" s="74">
        <v>0</v>
      </c>
      <c r="Z31" s="74">
        <v>0</v>
      </c>
      <c r="AA31" s="74">
        <v>0</v>
      </c>
      <c r="AB31" s="74">
        <v>0</v>
      </c>
      <c r="AC31" s="74">
        <v>0</v>
      </c>
      <c r="AD31" s="74">
        <v>0</v>
      </c>
      <c r="AE31" s="78">
        <v>0</v>
      </c>
      <c r="AF31" s="74">
        <v>0</v>
      </c>
      <c r="AG31" s="74">
        <v>0</v>
      </c>
      <c r="AH31" s="74">
        <v>0</v>
      </c>
      <c r="AI31" s="74">
        <v>0</v>
      </c>
      <c r="AJ31" s="74">
        <v>0</v>
      </c>
      <c r="AK31" s="74">
        <v>0</v>
      </c>
      <c r="AL31" s="74">
        <v>0</v>
      </c>
      <c r="AM31" s="74">
        <v>0</v>
      </c>
      <c r="AN31" s="74">
        <v>0</v>
      </c>
      <c r="AO31" s="74">
        <v>0</v>
      </c>
      <c r="AP31" s="74">
        <v>0</v>
      </c>
      <c r="AQ31" s="74">
        <v>0</v>
      </c>
      <c r="AR31" s="74">
        <v>0</v>
      </c>
      <c r="AS31" s="74">
        <v>0</v>
      </c>
      <c r="AT31" s="74">
        <v>0</v>
      </c>
      <c r="AU31" s="74">
        <v>0</v>
      </c>
      <c r="AV31" s="74">
        <v>0</v>
      </c>
      <c r="AW31" s="74">
        <v>0</v>
      </c>
      <c r="AX31" s="74">
        <v>0</v>
      </c>
      <c r="AY31" s="74">
        <v>0</v>
      </c>
      <c r="AZ31" s="74">
        <v>0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">
      <c r="B32" s="80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78">
        <v>1</v>
      </c>
      <c r="H32" s="74">
        <v>1</v>
      </c>
      <c r="I32" s="74">
        <v>1</v>
      </c>
      <c r="J32" s="74">
        <v>1</v>
      </c>
      <c r="K32" s="74">
        <v>1</v>
      </c>
      <c r="L32" s="74">
        <v>1</v>
      </c>
      <c r="M32" s="74">
        <v>1</v>
      </c>
      <c r="N32" s="74">
        <v>1</v>
      </c>
      <c r="O32" s="74">
        <v>1</v>
      </c>
      <c r="P32" s="74">
        <v>1</v>
      </c>
      <c r="Q32" s="74">
        <v>1</v>
      </c>
      <c r="R32" s="74">
        <v>1</v>
      </c>
      <c r="S32" s="74">
        <v>1</v>
      </c>
      <c r="T32" s="74">
        <v>1</v>
      </c>
      <c r="U32" s="74">
        <v>1</v>
      </c>
      <c r="V32" s="74">
        <v>1</v>
      </c>
      <c r="W32" s="74">
        <v>1</v>
      </c>
      <c r="X32" s="74">
        <v>1</v>
      </c>
      <c r="Y32" s="74">
        <v>1</v>
      </c>
      <c r="Z32" s="74">
        <v>1</v>
      </c>
      <c r="AA32" s="74">
        <v>1</v>
      </c>
      <c r="AB32" s="74">
        <v>1</v>
      </c>
      <c r="AC32" s="74">
        <v>1</v>
      </c>
      <c r="AD32" s="74">
        <v>1</v>
      </c>
      <c r="AE32" s="78">
        <v>1</v>
      </c>
      <c r="AF32" s="74">
        <v>1</v>
      </c>
      <c r="AG32" s="74">
        <v>1</v>
      </c>
      <c r="AH32" s="74">
        <v>1</v>
      </c>
      <c r="AI32" s="74">
        <v>1</v>
      </c>
      <c r="AJ32" s="74">
        <v>1</v>
      </c>
      <c r="AK32" s="74">
        <v>1</v>
      </c>
      <c r="AL32" s="74">
        <v>1</v>
      </c>
      <c r="AM32" s="74">
        <v>1</v>
      </c>
      <c r="AN32" s="74">
        <v>1</v>
      </c>
      <c r="AO32" s="74">
        <v>1</v>
      </c>
      <c r="AP32" s="74">
        <v>1</v>
      </c>
      <c r="AQ32" s="74">
        <v>1</v>
      </c>
      <c r="AR32" s="74">
        <v>1</v>
      </c>
      <c r="AS32" s="74">
        <v>1</v>
      </c>
      <c r="AT32" s="74">
        <v>1</v>
      </c>
      <c r="AU32" s="74">
        <v>1</v>
      </c>
      <c r="AV32" s="74">
        <v>1</v>
      </c>
      <c r="AW32" s="74">
        <v>1</v>
      </c>
      <c r="AX32" s="74">
        <v>1</v>
      </c>
      <c r="AY32" s="74">
        <v>1</v>
      </c>
      <c r="AZ32" s="74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">
      <c r="B33" s="103" t="s">
        <v>79</v>
      </c>
      <c r="C33" s="108" t="s">
        <v>132</v>
      </c>
      <c r="D33" s="109">
        <v>5.2</v>
      </c>
      <c r="E33" s="108" t="s">
        <v>128</v>
      </c>
      <c r="F33" s="108" t="s">
        <v>124</v>
      </c>
      <c r="G33" s="78">
        <v>1</v>
      </c>
      <c r="H33" s="74">
        <v>1</v>
      </c>
      <c r="I33" s="74">
        <v>1</v>
      </c>
      <c r="J33" s="74">
        <v>1</v>
      </c>
      <c r="K33" s="74">
        <v>1</v>
      </c>
      <c r="L33" s="74">
        <v>1</v>
      </c>
      <c r="M33" s="74">
        <v>1</v>
      </c>
      <c r="N33" s="74">
        <v>1</v>
      </c>
      <c r="O33" s="74">
        <v>1</v>
      </c>
      <c r="P33" s="74">
        <v>1</v>
      </c>
      <c r="Q33" s="74">
        <v>1</v>
      </c>
      <c r="R33" s="74">
        <v>1</v>
      </c>
      <c r="S33" s="74">
        <v>1</v>
      </c>
      <c r="T33" s="74">
        <v>1</v>
      </c>
      <c r="U33" s="74">
        <v>1</v>
      </c>
      <c r="V33" s="74">
        <v>1</v>
      </c>
      <c r="W33" s="74">
        <v>1</v>
      </c>
      <c r="X33" s="74">
        <v>1</v>
      </c>
      <c r="Y33" s="74">
        <v>1</v>
      </c>
      <c r="Z33" s="74">
        <v>1</v>
      </c>
      <c r="AA33" s="74">
        <v>1</v>
      </c>
      <c r="AB33" s="74">
        <v>1</v>
      </c>
      <c r="AC33" s="74">
        <v>1</v>
      </c>
      <c r="AD33" s="74">
        <v>1</v>
      </c>
      <c r="AE33" s="78">
        <v>1</v>
      </c>
      <c r="AF33" s="74">
        <v>1</v>
      </c>
      <c r="AG33" s="74">
        <v>1</v>
      </c>
      <c r="AH33" s="74">
        <v>1</v>
      </c>
      <c r="AI33" s="74">
        <v>1</v>
      </c>
      <c r="AJ33" s="74">
        <v>1</v>
      </c>
      <c r="AK33" s="74">
        <v>1</v>
      </c>
      <c r="AL33" s="74">
        <v>1</v>
      </c>
      <c r="AM33" s="74">
        <v>1</v>
      </c>
      <c r="AN33" s="74">
        <v>1</v>
      </c>
      <c r="AO33" s="74">
        <v>1</v>
      </c>
      <c r="AP33" s="74">
        <v>1</v>
      </c>
      <c r="AQ33" s="74">
        <v>1</v>
      </c>
      <c r="AR33" s="74">
        <v>1</v>
      </c>
      <c r="AS33" s="74">
        <v>1</v>
      </c>
      <c r="AT33" s="74">
        <v>1</v>
      </c>
      <c r="AU33" s="74">
        <v>1</v>
      </c>
      <c r="AV33" s="74">
        <v>1</v>
      </c>
      <c r="AW33" s="74">
        <v>1</v>
      </c>
      <c r="AX33" s="74">
        <v>1</v>
      </c>
      <c r="AY33" s="74">
        <v>1</v>
      </c>
      <c r="AZ33" s="74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">
      <c r="B34" s="80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78">
        <v>1</v>
      </c>
      <c r="H34" s="74">
        <v>1</v>
      </c>
      <c r="I34" s="74">
        <v>1</v>
      </c>
      <c r="J34" s="74">
        <v>1</v>
      </c>
      <c r="K34" s="74">
        <v>1</v>
      </c>
      <c r="L34" s="74">
        <v>1</v>
      </c>
      <c r="M34" s="74">
        <v>1</v>
      </c>
      <c r="N34" s="74">
        <v>1</v>
      </c>
      <c r="O34" s="74">
        <v>1</v>
      </c>
      <c r="P34" s="74">
        <v>1</v>
      </c>
      <c r="Q34" s="74">
        <v>1</v>
      </c>
      <c r="R34" s="74">
        <v>1</v>
      </c>
      <c r="S34" s="74">
        <v>1</v>
      </c>
      <c r="T34" s="74">
        <v>1</v>
      </c>
      <c r="U34" s="74">
        <v>1</v>
      </c>
      <c r="V34" s="74">
        <v>1</v>
      </c>
      <c r="W34" s="74">
        <v>1</v>
      </c>
      <c r="X34" s="74">
        <v>1</v>
      </c>
      <c r="Y34" s="74">
        <v>1</v>
      </c>
      <c r="Z34" s="74">
        <v>1</v>
      </c>
      <c r="AA34" s="74">
        <v>1</v>
      </c>
      <c r="AB34" s="74">
        <v>1</v>
      </c>
      <c r="AC34" s="74">
        <v>1</v>
      </c>
      <c r="AD34" s="74">
        <v>1</v>
      </c>
      <c r="AE34" s="78">
        <v>1</v>
      </c>
      <c r="AF34" s="74">
        <v>1</v>
      </c>
      <c r="AG34" s="74">
        <v>1</v>
      </c>
      <c r="AH34" s="74">
        <v>1</v>
      </c>
      <c r="AI34" s="74">
        <v>1</v>
      </c>
      <c r="AJ34" s="74">
        <v>1</v>
      </c>
      <c r="AK34" s="74">
        <v>1</v>
      </c>
      <c r="AL34" s="74">
        <v>1</v>
      </c>
      <c r="AM34" s="74">
        <v>1</v>
      </c>
      <c r="AN34" s="74">
        <v>1</v>
      </c>
      <c r="AO34" s="74">
        <v>1</v>
      </c>
      <c r="AP34" s="74">
        <v>1</v>
      </c>
      <c r="AQ34" s="74">
        <v>1</v>
      </c>
      <c r="AR34" s="74">
        <v>1</v>
      </c>
      <c r="AS34" s="74">
        <v>1</v>
      </c>
      <c r="AT34" s="74">
        <v>1</v>
      </c>
      <c r="AU34" s="74">
        <v>1</v>
      </c>
      <c r="AV34" s="74">
        <v>1</v>
      </c>
      <c r="AW34" s="74">
        <v>1</v>
      </c>
      <c r="AX34" s="74">
        <v>1</v>
      </c>
      <c r="AY34" s="74">
        <v>1</v>
      </c>
      <c r="AZ34" s="7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">
      <c r="B35" s="80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78">
        <v>1</v>
      </c>
      <c r="H35" s="74">
        <v>1</v>
      </c>
      <c r="I35" s="74">
        <v>1</v>
      </c>
      <c r="J35" s="74">
        <v>1</v>
      </c>
      <c r="K35" s="74">
        <v>1</v>
      </c>
      <c r="L35" s="74">
        <v>1</v>
      </c>
      <c r="M35" s="74">
        <v>1</v>
      </c>
      <c r="N35" s="74">
        <v>1</v>
      </c>
      <c r="O35" s="74">
        <v>1</v>
      </c>
      <c r="P35" s="74">
        <v>1</v>
      </c>
      <c r="Q35" s="74">
        <v>1</v>
      </c>
      <c r="R35" s="74">
        <v>1</v>
      </c>
      <c r="S35" s="74">
        <v>1</v>
      </c>
      <c r="T35" s="74">
        <v>1</v>
      </c>
      <c r="U35" s="74">
        <v>1</v>
      </c>
      <c r="V35" s="74">
        <v>1</v>
      </c>
      <c r="W35" s="74">
        <v>1</v>
      </c>
      <c r="X35" s="74">
        <v>1</v>
      </c>
      <c r="Y35" s="74">
        <v>1</v>
      </c>
      <c r="Z35" s="74">
        <v>1</v>
      </c>
      <c r="AA35" s="74">
        <v>1</v>
      </c>
      <c r="AB35" s="74">
        <v>1</v>
      </c>
      <c r="AC35" s="74">
        <v>1</v>
      </c>
      <c r="AD35" s="74">
        <v>1</v>
      </c>
      <c r="AE35" s="78">
        <v>1</v>
      </c>
      <c r="AF35" s="74">
        <v>1</v>
      </c>
      <c r="AG35" s="74">
        <v>1</v>
      </c>
      <c r="AH35" s="74">
        <v>1</v>
      </c>
      <c r="AI35" s="74">
        <v>1</v>
      </c>
      <c r="AJ35" s="74">
        <v>1</v>
      </c>
      <c r="AK35" s="74">
        <v>1</v>
      </c>
      <c r="AL35" s="74">
        <v>1</v>
      </c>
      <c r="AM35" s="74">
        <v>1</v>
      </c>
      <c r="AN35" s="74">
        <v>1</v>
      </c>
      <c r="AO35" s="74">
        <v>1</v>
      </c>
      <c r="AP35" s="74">
        <v>1</v>
      </c>
      <c r="AQ35" s="74">
        <v>1</v>
      </c>
      <c r="AR35" s="74">
        <v>1</v>
      </c>
      <c r="AS35" s="74">
        <v>1</v>
      </c>
      <c r="AT35" s="74">
        <v>1</v>
      </c>
      <c r="AU35" s="74">
        <v>1</v>
      </c>
      <c r="AV35" s="74">
        <v>1</v>
      </c>
      <c r="AW35" s="74">
        <v>1</v>
      </c>
      <c r="AX35" s="74">
        <v>1</v>
      </c>
      <c r="AY35" s="74">
        <v>1</v>
      </c>
      <c r="AZ35" s="74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">
      <c r="B36" s="80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78">
        <v>0</v>
      </c>
      <c r="H36" s="74">
        <v>0</v>
      </c>
      <c r="I36" s="74">
        <v>0</v>
      </c>
      <c r="J36" s="74">
        <v>0</v>
      </c>
      <c r="K36" s="74">
        <v>0</v>
      </c>
      <c r="L36" s="74">
        <v>0</v>
      </c>
      <c r="M36" s="74">
        <v>0</v>
      </c>
      <c r="N36" s="74">
        <v>0</v>
      </c>
      <c r="O36" s="74">
        <v>0</v>
      </c>
      <c r="P36" s="74">
        <v>0</v>
      </c>
      <c r="Q36" s="74">
        <v>0</v>
      </c>
      <c r="R36" s="74">
        <v>0</v>
      </c>
      <c r="S36" s="74">
        <v>0</v>
      </c>
      <c r="T36" s="74">
        <v>0</v>
      </c>
      <c r="U36" s="74">
        <v>0</v>
      </c>
      <c r="V36" s="74">
        <v>0</v>
      </c>
      <c r="W36" s="74">
        <v>0</v>
      </c>
      <c r="X36" s="74">
        <v>0</v>
      </c>
      <c r="Y36" s="74">
        <v>0</v>
      </c>
      <c r="Z36" s="74">
        <v>0</v>
      </c>
      <c r="AA36" s="74">
        <v>0</v>
      </c>
      <c r="AB36" s="74">
        <v>0</v>
      </c>
      <c r="AC36" s="74">
        <v>0</v>
      </c>
      <c r="AD36" s="74">
        <v>0</v>
      </c>
      <c r="AE36" s="78">
        <v>0</v>
      </c>
      <c r="AF36" s="74">
        <v>0</v>
      </c>
      <c r="AG36" s="74">
        <v>0</v>
      </c>
      <c r="AH36" s="74">
        <v>0</v>
      </c>
      <c r="AI36" s="74">
        <v>0</v>
      </c>
      <c r="AJ36" s="74">
        <v>0</v>
      </c>
      <c r="AK36" s="74">
        <v>0</v>
      </c>
      <c r="AL36" s="74">
        <v>0</v>
      </c>
      <c r="AM36" s="74">
        <v>0</v>
      </c>
      <c r="AN36" s="74">
        <v>0</v>
      </c>
      <c r="AO36" s="74">
        <v>0</v>
      </c>
      <c r="AP36" s="74">
        <v>0</v>
      </c>
      <c r="AQ36" s="74">
        <v>0</v>
      </c>
      <c r="AR36" s="74">
        <v>0</v>
      </c>
      <c r="AS36" s="74">
        <v>0</v>
      </c>
      <c r="AT36" s="74">
        <v>0</v>
      </c>
      <c r="AU36" s="74">
        <v>0</v>
      </c>
      <c r="AV36" s="74">
        <v>0</v>
      </c>
      <c r="AW36" s="74">
        <v>0</v>
      </c>
      <c r="AX36" s="74">
        <v>0</v>
      </c>
      <c r="AY36" s="74">
        <v>0</v>
      </c>
      <c r="AZ36" s="74">
        <v>0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">
      <c r="B37" s="80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78">
        <v>0</v>
      </c>
      <c r="H37" s="74">
        <v>0</v>
      </c>
      <c r="I37" s="74">
        <v>0</v>
      </c>
      <c r="J37" s="74">
        <v>0</v>
      </c>
      <c r="K37" s="74">
        <v>0</v>
      </c>
      <c r="L37" s="74">
        <v>0</v>
      </c>
      <c r="M37" s="74">
        <v>0</v>
      </c>
      <c r="N37" s="74">
        <v>0</v>
      </c>
      <c r="O37" s="74">
        <v>0</v>
      </c>
      <c r="P37" s="74">
        <v>0</v>
      </c>
      <c r="Q37" s="74">
        <v>0</v>
      </c>
      <c r="R37" s="74">
        <v>0</v>
      </c>
      <c r="S37" s="74">
        <v>0</v>
      </c>
      <c r="T37" s="74">
        <v>0</v>
      </c>
      <c r="U37" s="74">
        <v>0</v>
      </c>
      <c r="V37" s="74">
        <v>0</v>
      </c>
      <c r="W37" s="74">
        <v>0</v>
      </c>
      <c r="X37" s="74">
        <v>0</v>
      </c>
      <c r="Y37" s="74">
        <v>0</v>
      </c>
      <c r="Z37" s="74">
        <v>0</v>
      </c>
      <c r="AA37" s="74">
        <v>0</v>
      </c>
      <c r="AB37" s="74">
        <v>0</v>
      </c>
      <c r="AC37" s="74">
        <v>0</v>
      </c>
      <c r="AD37" s="74">
        <v>0</v>
      </c>
      <c r="AE37" s="78">
        <v>0</v>
      </c>
      <c r="AF37" s="74">
        <v>0</v>
      </c>
      <c r="AG37" s="74">
        <v>0</v>
      </c>
      <c r="AH37" s="74">
        <v>0</v>
      </c>
      <c r="AI37" s="74">
        <v>0</v>
      </c>
      <c r="AJ37" s="74">
        <v>0</v>
      </c>
      <c r="AK37" s="74">
        <v>0</v>
      </c>
      <c r="AL37" s="74">
        <v>0</v>
      </c>
      <c r="AM37" s="74">
        <v>0</v>
      </c>
      <c r="AN37" s="74">
        <v>0</v>
      </c>
      <c r="AO37" s="74">
        <v>0</v>
      </c>
      <c r="AP37" s="74">
        <v>0</v>
      </c>
      <c r="AQ37" s="74">
        <v>0</v>
      </c>
      <c r="AR37" s="74">
        <v>0</v>
      </c>
      <c r="AS37" s="74">
        <v>0</v>
      </c>
      <c r="AT37" s="74">
        <v>0</v>
      </c>
      <c r="AU37" s="74">
        <v>0</v>
      </c>
      <c r="AV37" s="74">
        <v>0</v>
      </c>
      <c r="AW37" s="74">
        <v>0</v>
      </c>
      <c r="AX37" s="74">
        <v>0</v>
      </c>
      <c r="AY37" s="74">
        <v>0</v>
      </c>
      <c r="AZ37" s="74">
        <v>0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">
      <c r="A38" s="27" t="s">
        <v>124</v>
      </c>
      <c r="B38" s="82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78">
        <v>1</v>
      </c>
      <c r="H38" s="74">
        <v>1</v>
      </c>
      <c r="I38" s="74">
        <v>1</v>
      </c>
      <c r="J38" s="74">
        <v>1</v>
      </c>
      <c r="K38" s="74">
        <v>1</v>
      </c>
      <c r="L38" s="74">
        <v>1</v>
      </c>
      <c r="M38" s="74">
        <v>1</v>
      </c>
      <c r="N38" s="74">
        <v>1</v>
      </c>
      <c r="O38" s="74">
        <v>1</v>
      </c>
      <c r="P38" s="74">
        <v>1</v>
      </c>
      <c r="Q38" s="74">
        <v>1</v>
      </c>
      <c r="R38" s="74">
        <v>1</v>
      </c>
      <c r="S38" s="74">
        <v>1</v>
      </c>
      <c r="T38" s="74">
        <v>1</v>
      </c>
      <c r="U38" s="74">
        <v>1</v>
      </c>
      <c r="V38" s="74">
        <v>1</v>
      </c>
      <c r="W38" s="74">
        <v>1</v>
      </c>
      <c r="X38" s="74">
        <v>1</v>
      </c>
      <c r="Y38" s="74">
        <v>1</v>
      </c>
      <c r="Z38" s="74">
        <v>1</v>
      </c>
      <c r="AA38" s="74">
        <v>1</v>
      </c>
      <c r="AB38" s="74">
        <v>1</v>
      </c>
      <c r="AC38" s="74">
        <v>1</v>
      </c>
      <c r="AD38" s="74">
        <v>1</v>
      </c>
      <c r="AE38" s="78">
        <v>1</v>
      </c>
      <c r="AF38" s="74">
        <v>1</v>
      </c>
      <c r="AG38" s="74">
        <v>1</v>
      </c>
      <c r="AH38" s="74">
        <v>1</v>
      </c>
      <c r="AI38" s="74">
        <v>1</v>
      </c>
      <c r="AJ38" s="74">
        <v>1</v>
      </c>
      <c r="AK38" s="74">
        <v>1</v>
      </c>
      <c r="AL38" s="74">
        <v>1</v>
      </c>
      <c r="AM38" s="74">
        <v>1</v>
      </c>
      <c r="AN38" s="74">
        <v>1</v>
      </c>
      <c r="AO38" s="74">
        <v>1</v>
      </c>
      <c r="AP38" s="74">
        <v>1</v>
      </c>
      <c r="AQ38" s="74">
        <v>1</v>
      </c>
      <c r="AR38" s="74">
        <v>1</v>
      </c>
      <c r="AS38" s="74">
        <v>1</v>
      </c>
      <c r="AT38" s="74">
        <v>1</v>
      </c>
      <c r="AU38" s="74">
        <v>1</v>
      </c>
      <c r="AV38" s="74">
        <v>1</v>
      </c>
      <c r="AW38" s="74">
        <v>1</v>
      </c>
      <c r="AX38" s="74">
        <v>1</v>
      </c>
      <c r="AY38" s="74">
        <v>1</v>
      </c>
      <c r="AZ38" s="74">
        <v>1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">
      <c r="A39" s="27" t="s">
        <v>124</v>
      </c>
      <c r="B39" s="82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78">
        <v>0</v>
      </c>
      <c r="H39" s="74">
        <v>0</v>
      </c>
      <c r="I39" s="74">
        <v>0</v>
      </c>
      <c r="J39" s="74">
        <v>0</v>
      </c>
      <c r="K39" s="74">
        <v>0</v>
      </c>
      <c r="L39" s="74">
        <v>0</v>
      </c>
      <c r="M39" s="74">
        <v>0</v>
      </c>
      <c r="N39" s="74">
        <v>0</v>
      </c>
      <c r="O39" s="74">
        <v>0</v>
      </c>
      <c r="P39" s="74">
        <v>0</v>
      </c>
      <c r="Q39" s="74">
        <v>0</v>
      </c>
      <c r="R39" s="74">
        <v>0</v>
      </c>
      <c r="S39" s="74">
        <v>0</v>
      </c>
      <c r="T39" s="74">
        <v>0</v>
      </c>
      <c r="U39" s="74">
        <v>0</v>
      </c>
      <c r="V39" s="74">
        <v>0</v>
      </c>
      <c r="W39" s="74">
        <v>0</v>
      </c>
      <c r="X39" s="74">
        <v>0</v>
      </c>
      <c r="Y39" s="74">
        <v>0</v>
      </c>
      <c r="Z39" s="74">
        <v>0</v>
      </c>
      <c r="AA39" s="74">
        <v>0</v>
      </c>
      <c r="AB39" s="74">
        <v>0</v>
      </c>
      <c r="AC39" s="74">
        <v>0</v>
      </c>
      <c r="AD39" s="74">
        <v>0</v>
      </c>
      <c r="AE39" s="78">
        <v>0</v>
      </c>
      <c r="AF39" s="74">
        <v>0</v>
      </c>
      <c r="AG39" s="74">
        <v>0</v>
      </c>
      <c r="AH39" s="74">
        <v>0</v>
      </c>
      <c r="AI39" s="74">
        <v>0</v>
      </c>
      <c r="AJ39" s="74">
        <v>0</v>
      </c>
      <c r="AK39" s="74">
        <v>0</v>
      </c>
      <c r="AL39" s="74">
        <v>0</v>
      </c>
      <c r="AM39" s="74">
        <v>0</v>
      </c>
      <c r="AN39" s="74">
        <v>0</v>
      </c>
      <c r="AO39" s="74">
        <v>0</v>
      </c>
      <c r="AP39" s="74">
        <v>0</v>
      </c>
      <c r="AQ39" s="74">
        <v>0</v>
      </c>
      <c r="AR39" s="74">
        <v>0</v>
      </c>
      <c r="AS39" s="74">
        <v>0</v>
      </c>
      <c r="AT39" s="74">
        <v>0</v>
      </c>
      <c r="AU39" s="74">
        <v>0</v>
      </c>
      <c r="AV39" s="74">
        <v>0</v>
      </c>
      <c r="AW39" s="74">
        <v>0</v>
      </c>
      <c r="AX39" s="74">
        <v>0</v>
      </c>
      <c r="AY39" s="74">
        <v>0</v>
      </c>
      <c r="AZ39" s="74">
        <v>0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">
      <c r="A40" s="27" t="s">
        <v>124</v>
      </c>
      <c r="B40" s="82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78">
        <v>1</v>
      </c>
      <c r="H40" s="74">
        <v>1</v>
      </c>
      <c r="I40" s="74">
        <v>1</v>
      </c>
      <c r="J40" s="74">
        <v>1</v>
      </c>
      <c r="K40" s="74">
        <v>1</v>
      </c>
      <c r="L40" s="74">
        <v>1</v>
      </c>
      <c r="M40" s="74">
        <v>1</v>
      </c>
      <c r="N40" s="74">
        <v>1</v>
      </c>
      <c r="O40" s="74">
        <v>1</v>
      </c>
      <c r="P40" s="74">
        <v>1</v>
      </c>
      <c r="Q40" s="74">
        <v>1</v>
      </c>
      <c r="R40" s="74">
        <v>1</v>
      </c>
      <c r="S40" s="74">
        <v>1</v>
      </c>
      <c r="T40" s="74">
        <v>1</v>
      </c>
      <c r="U40" s="74">
        <v>1</v>
      </c>
      <c r="V40" s="74">
        <v>1</v>
      </c>
      <c r="W40" s="74">
        <v>1</v>
      </c>
      <c r="X40" s="74">
        <v>1</v>
      </c>
      <c r="Y40" s="74">
        <v>1</v>
      </c>
      <c r="Z40" s="74">
        <v>1</v>
      </c>
      <c r="AA40" s="74">
        <v>1</v>
      </c>
      <c r="AB40" s="74">
        <v>1</v>
      </c>
      <c r="AC40" s="74">
        <v>1</v>
      </c>
      <c r="AD40" s="74">
        <v>1</v>
      </c>
      <c r="AE40" s="78">
        <v>1</v>
      </c>
      <c r="AF40" s="74">
        <v>1</v>
      </c>
      <c r="AG40" s="74">
        <v>1</v>
      </c>
      <c r="AH40" s="74">
        <v>1</v>
      </c>
      <c r="AI40" s="74">
        <v>1</v>
      </c>
      <c r="AJ40" s="74">
        <v>1</v>
      </c>
      <c r="AK40" s="74">
        <v>1</v>
      </c>
      <c r="AL40" s="74">
        <v>1</v>
      </c>
      <c r="AM40" s="74">
        <v>1</v>
      </c>
      <c r="AN40" s="74">
        <v>1</v>
      </c>
      <c r="AO40" s="74">
        <v>1</v>
      </c>
      <c r="AP40" s="74">
        <v>1</v>
      </c>
      <c r="AQ40" s="74">
        <v>1</v>
      </c>
      <c r="AR40" s="74">
        <v>1</v>
      </c>
      <c r="AS40" s="74">
        <v>1</v>
      </c>
      <c r="AT40" s="74">
        <v>1</v>
      </c>
      <c r="AU40" s="74">
        <v>1</v>
      </c>
      <c r="AV40" s="74">
        <v>1</v>
      </c>
      <c r="AW40" s="74">
        <v>1</v>
      </c>
      <c r="AX40" s="74">
        <v>1</v>
      </c>
      <c r="AY40" s="74">
        <v>1</v>
      </c>
      <c r="AZ40" s="74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">
      <c r="A41" s="27" t="s">
        <v>124</v>
      </c>
      <c r="B41" s="82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78">
        <v>1</v>
      </c>
      <c r="H41" s="74">
        <v>1</v>
      </c>
      <c r="I41" s="74">
        <v>1</v>
      </c>
      <c r="J41" s="74">
        <v>1</v>
      </c>
      <c r="K41" s="74">
        <v>1</v>
      </c>
      <c r="L41" s="74">
        <v>1</v>
      </c>
      <c r="M41" s="74">
        <v>1</v>
      </c>
      <c r="N41" s="74">
        <v>1</v>
      </c>
      <c r="O41" s="74">
        <v>1</v>
      </c>
      <c r="P41" s="74">
        <v>1</v>
      </c>
      <c r="Q41" s="74">
        <v>1</v>
      </c>
      <c r="R41" s="74">
        <v>1</v>
      </c>
      <c r="S41" s="74">
        <v>1</v>
      </c>
      <c r="T41" s="74">
        <v>1</v>
      </c>
      <c r="U41" s="74">
        <v>1</v>
      </c>
      <c r="V41" s="74">
        <v>1</v>
      </c>
      <c r="W41" s="74">
        <v>1</v>
      </c>
      <c r="X41" s="74">
        <v>1</v>
      </c>
      <c r="Y41" s="74">
        <v>1</v>
      </c>
      <c r="Z41" s="74">
        <v>1</v>
      </c>
      <c r="AA41" s="74">
        <v>1</v>
      </c>
      <c r="AB41" s="74">
        <v>1</v>
      </c>
      <c r="AC41" s="74">
        <v>1</v>
      </c>
      <c r="AD41" s="74">
        <v>1</v>
      </c>
      <c r="AE41" s="78">
        <v>1</v>
      </c>
      <c r="AF41" s="74">
        <v>1</v>
      </c>
      <c r="AG41" s="74">
        <v>1</v>
      </c>
      <c r="AH41" s="74">
        <v>1</v>
      </c>
      <c r="AI41" s="74">
        <v>1</v>
      </c>
      <c r="AJ41" s="74">
        <v>1</v>
      </c>
      <c r="AK41" s="74">
        <v>1</v>
      </c>
      <c r="AL41" s="74">
        <v>1</v>
      </c>
      <c r="AM41" s="74">
        <v>1</v>
      </c>
      <c r="AN41" s="74">
        <v>1</v>
      </c>
      <c r="AO41" s="74">
        <v>1</v>
      </c>
      <c r="AP41" s="74">
        <v>1</v>
      </c>
      <c r="AQ41" s="74">
        <v>1</v>
      </c>
      <c r="AR41" s="74">
        <v>1</v>
      </c>
      <c r="AS41" s="74">
        <v>1</v>
      </c>
      <c r="AT41" s="74">
        <v>1</v>
      </c>
      <c r="AU41" s="74">
        <v>1</v>
      </c>
      <c r="AV41" s="74">
        <v>1</v>
      </c>
      <c r="AW41" s="74">
        <v>1</v>
      </c>
      <c r="AX41" s="74">
        <v>1</v>
      </c>
      <c r="AY41" s="74">
        <v>1</v>
      </c>
      <c r="AZ41" s="74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">
      <c r="A42" s="27" t="s">
        <v>124</v>
      </c>
      <c r="B42" s="82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78">
        <v>1</v>
      </c>
      <c r="H42" s="74">
        <v>1</v>
      </c>
      <c r="I42" s="74">
        <v>1</v>
      </c>
      <c r="J42" s="74">
        <v>1</v>
      </c>
      <c r="K42" s="74">
        <v>1</v>
      </c>
      <c r="L42" s="74">
        <v>1</v>
      </c>
      <c r="M42" s="74">
        <v>1</v>
      </c>
      <c r="N42" s="74">
        <v>1</v>
      </c>
      <c r="O42" s="74">
        <v>1</v>
      </c>
      <c r="P42" s="74">
        <v>1</v>
      </c>
      <c r="Q42" s="74">
        <v>1</v>
      </c>
      <c r="R42" s="74">
        <v>1</v>
      </c>
      <c r="S42" s="74">
        <v>1</v>
      </c>
      <c r="T42" s="74">
        <v>1</v>
      </c>
      <c r="U42" s="74">
        <v>1</v>
      </c>
      <c r="V42" s="74">
        <v>1</v>
      </c>
      <c r="W42" s="74">
        <v>1</v>
      </c>
      <c r="X42" s="74">
        <v>1</v>
      </c>
      <c r="Y42" s="74">
        <v>1</v>
      </c>
      <c r="Z42" s="74">
        <v>1</v>
      </c>
      <c r="AA42" s="74">
        <v>1</v>
      </c>
      <c r="AB42" s="74">
        <v>1</v>
      </c>
      <c r="AC42" s="74">
        <v>1</v>
      </c>
      <c r="AD42" s="74">
        <v>1</v>
      </c>
      <c r="AE42" s="78">
        <v>1</v>
      </c>
      <c r="AF42" s="74">
        <v>1</v>
      </c>
      <c r="AG42" s="74">
        <v>1</v>
      </c>
      <c r="AH42" s="74">
        <v>1</v>
      </c>
      <c r="AI42" s="74">
        <v>1</v>
      </c>
      <c r="AJ42" s="74">
        <v>1</v>
      </c>
      <c r="AK42" s="74">
        <v>1</v>
      </c>
      <c r="AL42" s="74">
        <v>1</v>
      </c>
      <c r="AM42" s="74">
        <v>1</v>
      </c>
      <c r="AN42" s="74">
        <v>1</v>
      </c>
      <c r="AO42" s="74">
        <v>1</v>
      </c>
      <c r="AP42" s="74">
        <v>1</v>
      </c>
      <c r="AQ42" s="74">
        <v>1</v>
      </c>
      <c r="AR42" s="74">
        <v>1</v>
      </c>
      <c r="AS42" s="74">
        <v>1</v>
      </c>
      <c r="AT42" s="74">
        <v>1</v>
      </c>
      <c r="AU42" s="74">
        <v>1</v>
      </c>
      <c r="AV42" s="74">
        <v>1</v>
      </c>
      <c r="AW42" s="74">
        <v>1</v>
      </c>
      <c r="AX42" s="74">
        <v>1</v>
      </c>
      <c r="AY42" s="74">
        <v>1</v>
      </c>
      <c r="AZ42" s="7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">
      <c r="B43" s="83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78">
        <v>1</v>
      </c>
      <c r="H43" s="74">
        <v>1</v>
      </c>
      <c r="I43" s="74">
        <v>1</v>
      </c>
      <c r="J43" s="74">
        <v>1</v>
      </c>
      <c r="K43" s="74">
        <v>1</v>
      </c>
      <c r="L43" s="74">
        <v>1</v>
      </c>
      <c r="M43" s="74">
        <v>1</v>
      </c>
      <c r="N43" s="74">
        <v>1</v>
      </c>
      <c r="O43" s="74">
        <v>1</v>
      </c>
      <c r="P43" s="74">
        <v>1</v>
      </c>
      <c r="Q43" s="74">
        <v>1</v>
      </c>
      <c r="R43" s="74">
        <v>1</v>
      </c>
      <c r="S43" s="74">
        <v>1</v>
      </c>
      <c r="T43" s="74">
        <v>1</v>
      </c>
      <c r="U43" s="74">
        <v>1</v>
      </c>
      <c r="V43" s="74">
        <v>1</v>
      </c>
      <c r="W43" s="74">
        <v>1</v>
      </c>
      <c r="X43" s="74">
        <v>1</v>
      </c>
      <c r="Y43" s="74">
        <v>1</v>
      </c>
      <c r="Z43" s="74">
        <v>1</v>
      </c>
      <c r="AA43" s="74">
        <v>1</v>
      </c>
      <c r="AB43" s="74">
        <v>1</v>
      </c>
      <c r="AC43" s="74">
        <v>1</v>
      </c>
      <c r="AD43" s="74">
        <v>1</v>
      </c>
      <c r="AE43" s="78">
        <v>1</v>
      </c>
      <c r="AF43" s="74">
        <v>1</v>
      </c>
      <c r="AG43" s="74">
        <v>1</v>
      </c>
      <c r="AH43" s="74">
        <v>1</v>
      </c>
      <c r="AI43" s="74">
        <v>1</v>
      </c>
      <c r="AJ43" s="74">
        <v>1</v>
      </c>
      <c r="AK43" s="74">
        <v>1</v>
      </c>
      <c r="AL43" s="74">
        <v>1</v>
      </c>
      <c r="AM43" s="74">
        <v>1</v>
      </c>
      <c r="AN43" s="74">
        <v>1</v>
      </c>
      <c r="AO43" s="74">
        <v>1</v>
      </c>
      <c r="AP43" s="74">
        <v>1</v>
      </c>
      <c r="AQ43" s="74">
        <v>1</v>
      </c>
      <c r="AR43" s="74">
        <v>1</v>
      </c>
      <c r="AS43" s="74">
        <v>1</v>
      </c>
      <c r="AT43" s="74">
        <v>1</v>
      </c>
      <c r="AU43" s="74">
        <v>1</v>
      </c>
      <c r="AV43" s="74">
        <v>1</v>
      </c>
      <c r="AW43" s="74">
        <v>1</v>
      </c>
      <c r="AX43" s="74">
        <v>1</v>
      </c>
      <c r="AY43" s="74">
        <v>1</v>
      </c>
      <c r="AZ43" s="74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">
      <c r="A44" s="27" t="s">
        <v>122</v>
      </c>
      <c r="B44" s="82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78">
        <v>1</v>
      </c>
      <c r="H44" s="74">
        <v>1</v>
      </c>
      <c r="I44" s="74">
        <v>1</v>
      </c>
      <c r="J44" s="74">
        <v>1</v>
      </c>
      <c r="K44" s="74">
        <v>1</v>
      </c>
      <c r="L44" s="74">
        <v>1</v>
      </c>
      <c r="M44" s="74">
        <v>1</v>
      </c>
      <c r="N44" s="74">
        <v>1</v>
      </c>
      <c r="O44" s="74">
        <v>1</v>
      </c>
      <c r="P44" s="74">
        <v>1</v>
      </c>
      <c r="Q44" s="74">
        <v>1</v>
      </c>
      <c r="R44" s="74">
        <v>1</v>
      </c>
      <c r="S44" s="74">
        <v>1</v>
      </c>
      <c r="T44" s="74">
        <v>1</v>
      </c>
      <c r="U44" s="74">
        <v>1</v>
      </c>
      <c r="V44" s="74">
        <v>1</v>
      </c>
      <c r="W44" s="74">
        <v>1</v>
      </c>
      <c r="X44" s="74">
        <v>1</v>
      </c>
      <c r="Y44" s="74">
        <v>1</v>
      </c>
      <c r="Z44" s="74">
        <v>1</v>
      </c>
      <c r="AA44" s="74">
        <v>1</v>
      </c>
      <c r="AB44" s="74">
        <v>1</v>
      </c>
      <c r="AC44" s="74">
        <v>1</v>
      </c>
      <c r="AD44" s="74">
        <v>1</v>
      </c>
      <c r="AE44" s="78">
        <v>1</v>
      </c>
      <c r="AF44" s="74">
        <v>1</v>
      </c>
      <c r="AG44" s="74">
        <v>1</v>
      </c>
      <c r="AH44" s="74">
        <v>1</v>
      </c>
      <c r="AI44" s="74">
        <v>1</v>
      </c>
      <c r="AJ44" s="74">
        <v>1</v>
      </c>
      <c r="AK44" s="74">
        <v>1</v>
      </c>
      <c r="AL44" s="74">
        <v>1</v>
      </c>
      <c r="AM44" s="74">
        <v>1</v>
      </c>
      <c r="AN44" s="74">
        <v>1</v>
      </c>
      <c r="AO44" s="74">
        <v>1</v>
      </c>
      <c r="AP44" s="74">
        <v>1</v>
      </c>
      <c r="AQ44" s="74">
        <v>1</v>
      </c>
      <c r="AR44" s="74">
        <v>1</v>
      </c>
      <c r="AS44" s="74">
        <v>1</v>
      </c>
      <c r="AT44" s="74">
        <v>1</v>
      </c>
      <c r="AU44" s="74">
        <v>1</v>
      </c>
      <c r="AV44" s="74">
        <v>1</v>
      </c>
      <c r="AW44" s="74">
        <v>1</v>
      </c>
      <c r="AX44" s="74">
        <v>1</v>
      </c>
      <c r="AY44" s="74">
        <v>1</v>
      </c>
      <c r="AZ44" s="74">
        <v>1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">
      <c r="A45" s="27" t="s">
        <v>122</v>
      </c>
      <c r="B45" s="82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78">
        <v>0</v>
      </c>
      <c r="H45" s="74">
        <v>0</v>
      </c>
      <c r="I45" s="74">
        <v>0</v>
      </c>
      <c r="J45" s="74">
        <v>0</v>
      </c>
      <c r="K45" s="74">
        <v>0</v>
      </c>
      <c r="L45" s="74">
        <v>0</v>
      </c>
      <c r="M45" s="74">
        <v>0</v>
      </c>
      <c r="N45" s="74">
        <v>0</v>
      </c>
      <c r="O45" s="74">
        <v>0</v>
      </c>
      <c r="P45" s="74">
        <v>0</v>
      </c>
      <c r="Q45" s="74">
        <v>0</v>
      </c>
      <c r="R45" s="74">
        <v>0</v>
      </c>
      <c r="S45" s="74">
        <v>0</v>
      </c>
      <c r="T45" s="74">
        <v>0</v>
      </c>
      <c r="U45" s="74">
        <v>0</v>
      </c>
      <c r="V45" s="74">
        <v>0</v>
      </c>
      <c r="W45" s="74">
        <v>0</v>
      </c>
      <c r="X45" s="74">
        <v>0</v>
      </c>
      <c r="Y45" s="74">
        <v>0</v>
      </c>
      <c r="Z45" s="74">
        <v>0</v>
      </c>
      <c r="AA45" s="74">
        <v>0</v>
      </c>
      <c r="AB45" s="74">
        <v>0</v>
      </c>
      <c r="AC45" s="74">
        <v>0</v>
      </c>
      <c r="AD45" s="74">
        <v>0</v>
      </c>
      <c r="AE45" s="78">
        <v>0</v>
      </c>
      <c r="AF45" s="74">
        <v>0</v>
      </c>
      <c r="AG45" s="74">
        <v>0</v>
      </c>
      <c r="AH45" s="74">
        <v>0</v>
      </c>
      <c r="AI45" s="74">
        <v>0</v>
      </c>
      <c r="AJ45" s="74">
        <v>0</v>
      </c>
      <c r="AK45" s="74">
        <v>0</v>
      </c>
      <c r="AL45" s="74">
        <v>0</v>
      </c>
      <c r="AM45" s="74">
        <v>0</v>
      </c>
      <c r="AN45" s="74">
        <v>0</v>
      </c>
      <c r="AO45" s="74">
        <v>0</v>
      </c>
      <c r="AP45" s="74">
        <v>0</v>
      </c>
      <c r="AQ45" s="74">
        <v>0</v>
      </c>
      <c r="AR45" s="74">
        <v>0</v>
      </c>
      <c r="AS45" s="74">
        <v>0</v>
      </c>
      <c r="AT45" s="74">
        <v>0</v>
      </c>
      <c r="AU45" s="74">
        <v>0</v>
      </c>
      <c r="AV45" s="74">
        <v>0</v>
      </c>
      <c r="AW45" s="74">
        <v>0</v>
      </c>
      <c r="AX45" s="74">
        <v>0</v>
      </c>
      <c r="AY45" s="74">
        <v>0</v>
      </c>
      <c r="AZ45" s="74">
        <v>0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">
      <c r="B46" s="80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78">
        <v>1</v>
      </c>
      <c r="H46" s="74">
        <v>1</v>
      </c>
      <c r="I46" s="74">
        <v>1</v>
      </c>
      <c r="J46" s="74">
        <v>1</v>
      </c>
      <c r="K46" s="74">
        <v>1</v>
      </c>
      <c r="L46" s="74">
        <v>1</v>
      </c>
      <c r="M46" s="74">
        <v>1</v>
      </c>
      <c r="N46" s="74">
        <v>1</v>
      </c>
      <c r="O46" s="74">
        <v>1</v>
      </c>
      <c r="P46" s="74">
        <v>1</v>
      </c>
      <c r="Q46" s="74">
        <v>1</v>
      </c>
      <c r="R46" s="74">
        <v>1</v>
      </c>
      <c r="S46" s="74">
        <v>1</v>
      </c>
      <c r="T46" s="74">
        <v>1</v>
      </c>
      <c r="U46" s="74">
        <v>1</v>
      </c>
      <c r="V46" s="74">
        <v>1</v>
      </c>
      <c r="W46" s="74">
        <v>1</v>
      </c>
      <c r="X46" s="74">
        <v>1</v>
      </c>
      <c r="Y46" s="74">
        <v>1</v>
      </c>
      <c r="Z46" s="74">
        <v>1</v>
      </c>
      <c r="AA46" s="74">
        <v>1</v>
      </c>
      <c r="AB46" s="74">
        <v>1</v>
      </c>
      <c r="AC46" s="74">
        <v>1</v>
      </c>
      <c r="AD46" s="74">
        <v>1</v>
      </c>
      <c r="AE46" s="78">
        <v>1</v>
      </c>
      <c r="AF46" s="74">
        <v>1</v>
      </c>
      <c r="AG46" s="74">
        <v>1</v>
      </c>
      <c r="AH46" s="74">
        <v>1</v>
      </c>
      <c r="AI46" s="74">
        <v>1</v>
      </c>
      <c r="AJ46" s="74">
        <v>1</v>
      </c>
      <c r="AK46" s="74">
        <v>1</v>
      </c>
      <c r="AL46" s="74">
        <v>1</v>
      </c>
      <c r="AM46" s="74">
        <v>1</v>
      </c>
      <c r="AN46" s="74">
        <v>1</v>
      </c>
      <c r="AO46" s="74">
        <v>1</v>
      </c>
      <c r="AP46" s="74">
        <v>1</v>
      </c>
      <c r="AQ46" s="74">
        <v>1</v>
      </c>
      <c r="AR46" s="74">
        <v>1</v>
      </c>
      <c r="AS46" s="74">
        <v>1</v>
      </c>
      <c r="AT46" s="74">
        <v>1</v>
      </c>
      <c r="AU46" s="74">
        <v>1</v>
      </c>
      <c r="AV46" s="74">
        <v>1</v>
      </c>
      <c r="AW46" s="74">
        <v>1</v>
      </c>
      <c r="AX46" s="74">
        <v>1</v>
      </c>
      <c r="AY46" s="74">
        <v>1</v>
      </c>
      <c r="AZ46" s="7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">
      <c r="B47" s="80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78">
        <v>1</v>
      </c>
      <c r="H47" s="74">
        <v>1</v>
      </c>
      <c r="I47" s="74">
        <v>1</v>
      </c>
      <c r="J47" s="74">
        <v>1</v>
      </c>
      <c r="K47" s="74">
        <v>1</v>
      </c>
      <c r="L47" s="74">
        <v>1</v>
      </c>
      <c r="M47" s="74">
        <v>1</v>
      </c>
      <c r="N47" s="74">
        <v>1</v>
      </c>
      <c r="O47" s="74">
        <v>1</v>
      </c>
      <c r="P47" s="74">
        <v>1</v>
      </c>
      <c r="Q47" s="74">
        <v>1</v>
      </c>
      <c r="R47" s="74">
        <v>1</v>
      </c>
      <c r="S47" s="74">
        <v>1</v>
      </c>
      <c r="T47" s="74">
        <v>1</v>
      </c>
      <c r="U47" s="74">
        <v>1</v>
      </c>
      <c r="V47" s="74">
        <v>1</v>
      </c>
      <c r="W47" s="74">
        <v>1</v>
      </c>
      <c r="X47" s="74">
        <v>1</v>
      </c>
      <c r="Y47" s="74">
        <v>1</v>
      </c>
      <c r="Z47" s="74">
        <v>1</v>
      </c>
      <c r="AA47" s="74">
        <v>1</v>
      </c>
      <c r="AB47" s="74">
        <v>1</v>
      </c>
      <c r="AC47" s="74">
        <v>1</v>
      </c>
      <c r="AD47" s="74">
        <v>1</v>
      </c>
      <c r="AE47" s="78">
        <v>1</v>
      </c>
      <c r="AF47" s="74">
        <v>1</v>
      </c>
      <c r="AG47" s="74">
        <v>1</v>
      </c>
      <c r="AH47" s="74">
        <v>1</v>
      </c>
      <c r="AI47" s="74">
        <v>1</v>
      </c>
      <c r="AJ47" s="74">
        <v>1</v>
      </c>
      <c r="AK47" s="74">
        <v>1</v>
      </c>
      <c r="AL47" s="74">
        <v>1</v>
      </c>
      <c r="AM47" s="74">
        <v>1</v>
      </c>
      <c r="AN47" s="74">
        <v>1</v>
      </c>
      <c r="AO47" s="74">
        <v>1</v>
      </c>
      <c r="AP47" s="74">
        <v>1</v>
      </c>
      <c r="AQ47" s="74">
        <v>1</v>
      </c>
      <c r="AR47" s="74">
        <v>1</v>
      </c>
      <c r="AS47" s="74">
        <v>1</v>
      </c>
      <c r="AT47" s="74">
        <v>1</v>
      </c>
      <c r="AU47" s="74">
        <v>1</v>
      </c>
      <c r="AV47" s="74">
        <v>1</v>
      </c>
      <c r="AW47" s="74">
        <v>1</v>
      </c>
      <c r="AX47" s="74">
        <v>1</v>
      </c>
      <c r="AY47" s="74">
        <v>1</v>
      </c>
      <c r="AZ47" s="74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">
      <c r="B48" s="103" t="s">
        <v>94</v>
      </c>
      <c r="C48" s="108" t="s">
        <v>132</v>
      </c>
      <c r="D48" s="109">
        <v>5.2</v>
      </c>
      <c r="E48" s="108" t="s">
        <v>127</v>
      </c>
      <c r="F48" s="108" t="s">
        <v>123</v>
      </c>
      <c r="G48" s="78">
        <v>1</v>
      </c>
      <c r="H48" s="74">
        <v>1</v>
      </c>
      <c r="I48" s="74">
        <v>1</v>
      </c>
      <c r="J48" s="74">
        <v>1</v>
      </c>
      <c r="K48" s="74">
        <v>1</v>
      </c>
      <c r="L48" s="74">
        <v>1</v>
      </c>
      <c r="M48" s="74">
        <v>1</v>
      </c>
      <c r="N48" s="74">
        <v>1</v>
      </c>
      <c r="O48" s="74">
        <v>1</v>
      </c>
      <c r="P48" s="74">
        <v>1</v>
      </c>
      <c r="Q48" s="74">
        <v>1</v>
      </c>
      <c r="R48" s="74">
        <v>1</v>
      </c>
      <c r="S48" s="74">
        <v>1</v>
      </c>
      <c r="T48" s="74">
        <v>1</v>
      </c>
      <c r="U48" s="74">
        <v>1</v>
      </c>
      <c r="V48" s="74">
        <v>1</v>
      </c>
      <c r="W48" s="74">
        <v>1</v>
      </c>
      <c r="X48" s="74">
        <v>1</v>
      </c>
      <c r="Y48" s="74">
        <v>1</v>
      </c>
      <c r="Z48" s="74">
        <v>1</v>
      </c>
      <c r="AA48" s="74">
        <v>1</v>
      </c>
      <c r="AB48" s="74">
        <v>1</v>
      </c>
      <c r="AC48" s="74">
        <v>1</v>
      </c>
      <c r="AD48" s="74">
        <v>1</v>
      </c>
      <c r="AE48" s="78">
        <v>1</v>
      </c>
      <c r="AF48" s="74">
        <v>1</v>
      </c>
      <c r="AG48" s="74">
        <v>1</v>
      </c>
      <c r="AH48" s="74">
        <v>1</v>
      </c>
      <c r="AI48" s="74">
        <v>1</v>
      </c>
      <c r="AJ48" s="74">
        <v>1</v>
      </c>
      <c r="AK48" s="74">
        <v>1</v>
      </c>
      <c r="AL48" s="74">
        <v>1</v>
      </c>
      <c r="AM48" s="74">
        <v>1</v>
      </c>
      <c r="AN48" s="74">
        <v>1</v>
      </c>
      <c r="AO48" s="74">
        <v>1</v>
      </c>
      <c r="AP48" s="74">
        <v>1</v>
      </c>
      <c r="AQ48" s="74">
        <v>1</v>
      </c>
      <c r="AR48" s="74">
        <v>1</v>
      </c>
      <c r="AS48" s="74">
        <v>1</v>
      </c>
      <c r="AT48" s="74">
        <v>1</v>
      </c>
      <c r="AU48" s="74">
        <v>1</v>
      </c>
      <c r="AV48" s="74">
        <v>1</v>
      </c>
      <c r="AW48" s="74">
        <v>1</v>
      </c>
      <c r="AX48" s="74">
        <v>1</v>
      </c>
      <c r="AY48" s="74">
        <v>1</v>
      </c>
      <c r="AZ48" s="74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">
      <c r="B49" s="80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78">
        <v>1</v>
      </c>
      <c r="H49" s="74">
        <v>1</v>
      </c>
      <c r="I49" s="74">
        <v>1</v>
      </c>
      <c r="J49" s="74">
        <v>1</v>
      </c>
      <c r="K49" s="74">
        <v>1</v>
      </c>
      <c r="L49" s="74">
        <v>1</v>
      </c>
      <c r="M49" s="74">
        <v>1</v>
      </c>
      <c r="N49" s="74">
        <v>1</v>
      </c>
      <c r="O49" s="74">
        <v>1</v>
      </c>
      <c r="P49" s="74">
        <v>1</v>
      </c>
      <c r="Q49" s="74">
        <v>1</v>
      </c>
      <c r="R49" s="74">
        <v>1</v>
      </c>
      <c r="S49" s="74">
        <v>1</v>
      </c>
      <c r="T49" s="74">
        <v>1</v>
      </c>
      <c r="U49" s="74">
        <v>1</v>
      </c>
      <c r="V49" s="74">
        <v>1</v>
      </c>
      <c r="W49" s="74">
        <v>1</v>
      </c>
      <c r="X49" s="74">
        <v>1</v>
      </c>
      <c r="Y49" s="74">
        <v>1</v>
      </c>
      <c r="Z49" s="74">
        <v>1</v>
      </c>
      <c r="AA49" s="74">
        <v>1</v>
      </c>
      <c r="AB49" s="74">
        <v>1</v>
      </c>
      <c r="AC49" s="74">
        <v>1</v>
      </c>
      <c r="AD49" s="74">
        <v>1</v>
      </c>
      <c r="AE49" s="78">
        <v>1</v>
      </c>
      <c r="AF49" s="74">
        <v>1</v>
      </c>
      <c r="AG49" s="74">
        <v>1</v>
      </c>
      <c r="AH49" s="74">
        <v>1</v>
      </c>
      <c r="AI49" s="74">
        <v>1</v>
      </c>
      <c r="AJ49" s="74">
        <v>1</v>
      </c>
      <c r="AK49" s="74">
        <v>1</v>
      </c>
      <c r="AL49" s="74">
        <v>1</v>
      </c>
      <c r="AM49" s="74">
        <v>1</v>
      </c>
      <c r="AN49" s="74">
        <v>1</v>
      </c>
      <c r="AO49" s="74">
        <v>1</v>
      </c>
      <c r="AP49" s="74">
        <v>1</v>
      </c>
      <c r="AQ49" s="74">
        <v>1</v>
      </c>
      <c r="AR49" s="74">
        <v>1</v>
      </c>
      <c r="AS49" s="74">
        <v>1</v>
      </c>
      <c r="AT49" s="74">
        <v>1</v>
      </c>
      <c r="AU49" s="74">
        <v>1</v>
      </c>
      <c r="AV49" s="74">
        <v>1</v>
      </c>
      <c r="AW49" s="74">
        <v>1</v>
      </c>
      <c r="AX49" s="74">
        <v>1</v>
      </c>
      <c r="AY49" s="74">
        <v>1</v>
      </c>
      <c r="AZ49" s="74">
        <v>1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">
      <c r="B50" s="80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78">
        <v>1</v>
      </c>
      <c r="H50" s="74">
        <v>1</v>
      </c>
      <c r="I50" s="74">
        <v>1</v>
      </c>
      <c r="J50" s="74">
        <v>1</v>
      </c>
      <c r="K50" s="74">
        <v>1</v>
      </c>
      <c r="L50" s="74">
        <v>1</v>
      </c>
      <c r="M50" s="74">
        <v>1</v>
      </c>
      <c r="N50" s="74">
        <v>1</v>
      </c>
      <c r="O50" s="74">
        <v>1</v>
      </c>
      <c r="P50" s="74">
        <v>1</v>
      </c>
      <c r="Q50" s="74">
        <v>1</v>
      </c>
      <c r="R50" s="74">
        <v>1</v>
      </c>
      <c r="S50" s="74">
        <v>1</v>
      </c>
      <c r="T50" s="74">
        <v>1</v>
      </c>
      <c r="U50" s="74">
        <v>1</v>
      </c>
      <c r="V50" s="74">
        <v>1</v>
      </c>
      <c r="W50" s="74">
        <v>1</v>
      </c>
      <c r="X50" s="74">
        <v>1</v>
      </c>
      <c r="Y50" s="74">
        <v>1</v>
      </c>
      <c r="Z50" s="74">
        <v>1</v>
      </c>
      <c r="AA50" s="74">
        <v>1</v>
      </c>
      <c r="AB50" s="74">
        <v>1</v>
      </c>
      <c r="AC50" s="74">
        <v>1</v>
      </c>
      <c r="AD50" s="74">
        <v>1</v>
      </c>
      <c r="AE50" s="78">
        <v>1</v>
      </c>
      <c r="AF50" s="74">
        <v>1</v>
      </c>
      <c r="AG50" s="74">
        <v>1</v>
      </c>
      <c r="AH50" s="74">
        <v>1</v>
      </c>
      <c r="AI50" s="74">
        <v>1</v>
      </c>
      <c r="AJ50" s="74">
        <v>1</v>
      </c>
      <c r="AK50" s="74">
        <v>1</v>
      </c>
      <c r="AL50" s="74">
        <v>1</v>
      </c>
      <c r="AM50" s="74">
        <v>1</v>
      </c>
      <c r="AN50" s="74">
        <v>1</v>
      </c>
      <c r="AO50" s="74">
        <v>1</v>
      </c>
      <c r="AP50" s="74">
        <v>1</v>
      </c>
      <c r="AQ50" s="74">
        <v>1</v>
      </c>
      <c r="AR50" s="74">
        <v>1</v>
      </c>
      <c r="AS50" s="74">
        <v>1</v>
      </c>
      <c r="AT50" s="74">
        <v>1</v>
      </c>
      <c r="AU50" s="74">
        <v>1</v>
      </c>
      <c r="AV50" s="74">
        <v>1</v>
      </c>
      <c r="AW50" s="74">
        <v>1</v>
      </c>
      <c r="AX50" s="74">
        <v>1</v>
      </c>
      <c r="AY50" s="74">
        <v>1</v>
      </c>
      <c r="AZ50" s="74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">
      <c r="B51" s="80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78">
        <v>1</v>
      </c>
      <c r="H51" s="74">
        <v>1</v>
      </c>
      <c r="I51" s="74">
        <v>1</v>
      </c>
      <c r="J51" s="74">
        <v>1</v>
      </c>
      <c r="K51" s="74">
        <v>1</v>
      </c>
      <c r="L51" s="74">
        <v>1</v>
      </c>
      <c r="M51" s="74">
        <v>1</v>
      </c>
      <c r="N51" s="74">
        <v>1</v>
      </c>
      <c r="O51" s="74">
        <v>1</v>
      </c>
      <c r="P51" s="74">
        <v>1</v>
      </c>
      <c r="Q51" s="74">
        <v>1</v>
      </c>
      <c r="R51" s="74">
        <v>1</v>
      </c>
      <c r="S51" s="74">
        <v>1</v>
      </c>
      <c r="T51" s="74">
        <v>1</v>
      </c>
      <c r="U51" s="74">
        <v>1</v>
      </c>
      <c r="V51" s="74">
        <v>1</v>
      </c>
      <c r="W51" s="74">
        <v>1</v>
      </c>
      <c r="X51" s="74">
        <v>1</v>
      </c>
      <c r="Y51" s="74">
        <v>1</v>
      </c>
      <c r="Z51" s="74">
        <v>1</v>
      </c>
      <c r="AA51" s="74">
        <v>1</v>
      </c>
      <c r="AB51" s="74">
        <v>1</v>
      </c>
      <c r="AC51" s="74">
        <v>1</v>
      </c>
      <c r="AD51" s="74">
        <v>1</v>
      </c>
      <c r="AE51" s="78">
        <v>1</v>
      </c>
      <c r="AF51" s="74">
        <v>1</v>
      </c>
      <c r="AG51" s="74">
        <v>1</v>
      </c>
      <c r="AH51" s="74">
        <v>1</v>
      </c>
      <c r="AI51" s="74">
        <v>1</v>
      </c>
      <c r="AJ51" s="74">
        <v>1</v>
      </c>
      <c r="AK51" s="74">
        <v>1</v>
      </c>
      <c r="AL51" s="74">
        <v>1</v>
      </c>
      <c r="AM51" s="74">
        <v>1</v>
      </c>
      <c r="AN51" s="74">
        <v>1</v>
      </c>
      <c r="AO51" s="74">
        <v>1</v>
      </c>
      <c r="AP51" s="74">
        <v>1</v>
      </c>
      <c r="AQ51" s="74">
        <v>1</v>
      </c>
      <c r="AR51" s="74">
        <v>1</v>
      </c>
      <c r="AS51" s="74">
        <v>1</v>
      </c>
      <c r="AT51" s="74">
        <v>1</v>
      </c>
      <c r="AU51" s="74">
        <v>1</v>
      </c>
      <c r="AV51" s="74">
        <v>1</v>
      </c>
      <c r="AW51" s="74">
        <v>1</v>
      </c>
      <c r="AX51" s="74">
        <v>1</v>
      </c>
      <c r="AY51" s="74">
        <v>1</v>
      </c>
      <c r="AZ51" s="7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">
      <c r="B52" s="80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78">
        <v>0</v>
      </c>
      <c r="H52" s="74">
        <v>0</v>
      </c>
      <c r="I52" s="74">
        <v>0</v>
      </c>
      <c r="J52" s="74">
        <v>0</v>
      </c>
      <c r="K52" s="74">
        <v>0</v>
      </c>
      <c r="L52" s="74">
        <v>0</v>
      </c>
      <c r="M52" s="74">
        <v>0</v>
      </c>
      <c r="N52" s="74">
        <v>0</v>
      </c>
      <c r="O52" s="74">
        <v>0</v>
      </c>
      <c r="P52" s="74">
        <v>0</v>
      </c>
      <c r="Q52" s="74">
        <v>0</v>
      </c>
      <c r="R52" s="74">
        <v>0</v>
      </c>
      <c r="S52" s="74">
        <v>0</v>
      </c>
      <c r="T52" s="74">
        <v>0</v>
      </c>
      <c r="U52" s="74">
        <v>0</v>
      </c>
      <c r="V52" s="74">
        <v>0</v>
      </c>
      <c r="W52" s="74">
        <v>0</v>
      </c>
      <c r="X52" s="74">
        <v>0</v>
      </c>
      <c r="Y52" s="74">
        <v>0</v>
      </c>
      <c r="Z52" s="74">
        <v>0</v>
      </c>
      <c r="AA52" s="74">
        <v>0</v>
      </c>
      <c r="AB52" s="74">
        <v>0</v>
      </c>
      <c r="AC52" s="74">
        <v>0</v>
      </c>
      <c r="AD52" s="74">
        <v>0</v>
      </c>
      <c r="AE52" s="78">
        <v>0</v>
      </c>
      <c r="AF52" s="74">
        <v>0</v>
      </c>
      <c r="AG52" s="74">
        <v>0</v>
      </c>
      <c r="AH52" s="74">
        <v>0</v>
      </c>
      <c r="AI52" s="74">
        <v>0</v>
      </c>
      <c r="AJ52" s="74">
        <v>0</v>
      </c>
      <c r="AK52" s="74">
        <v>0</v>
      </c>
      <c r="AL52" s="74">
        <v>0</v>
      </c>
      <c r="AM52" s="74">
        <v>0</v>
      </c>
      <c r="AN52" s="74">
        <v>0</v>
      </c>
      <c r="AO52" s="74">
        <v>0</v>
      </c>
      <c r="AP52" s="74">
        <v>0</v>
      </c>
      <c r="AQ52" s="74">
        <v>0</v>
      </c>
      <c r="AR52" s="74">
        <v>0</v>
      </c>
      <c r="AS52" s="74">
        <v>0</v>
      </c>
      <c r="AT52" s="74">
        <v>0</v>
      </c>
      <c r="AU52" s="74">
        <v>0</v>
      </c>
      <c r="AV52" s="74">
        <v>0</v>
      </c>
      <c r="AW52" s="74">
        <v>0</v>
      </c>
      <c r="AX52" s="74">
        <v>0</v>
      </c>
      <c r="AY52" s="74">
        <v>0</v>
      </c>
      <c r="AZ52" s="74">
        <v>0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">
      <c r="B53" s="80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78">
        <v>1</v>
      </c>
      <c r="H53" s="74">
        <v>1</v>
      </c>
      <c r="I53" s="74">
        <v>1</v>
      </c>
      <c r="J53" s="74">
        <v>1</v>
      </c>
      <c r="K53" s="74">
        <v>1</v>
      </c>
      <c r="L53" s="74">
        <v>1</v>
      </c>
      <c r="M53" s="74">
        <v>1</v>
      </c>
      <c r="N53" s="74">
        <v>1</v>
      </c>
      <c r="O53" s="74">
        <v>1</v>
      </c>
      <c r="P53" s="74">
        <v>1</v>
      </c>
      <c r="Q53" s="74">
        <v>1</v>
      </c>
      <c r="R53" s="74">
        <v>1</v>
      </c>
      <c r="S53" s="74">
        <v>1</v>
      </c>
      <c r="T53" s="74">
        <v>1</v>
      </c>
      <c r="U53" s="74">
        <v>1</v>
      </c>
      <c r="V53" s="74">
        <v>1</v>
      </c>
      <c r="W53" s="74">
        <v>1</v>
      </c>
      <c r="X53" s="74">
        <v>1</v>
      </c>
      <c r="Y53" s="74">
        <v>1</v>
      </c>
      <c r="Z53" s="74">
        <v>1</v>
      </c>
      <c r="AA53" s="74">
        <v>1</v>
      </c>
      <c r="AB53" s="74">
        <v>1</v>
      </c>
      <c r="AC53" s="74">
        <v>1</v>
      </c>
      <c r="AD53" s="74">
        <v>1</v>
      </c>
      <c r="AE53" s="78">
        <v>1</v>
      </c>
      <c r="AF53" s="74">
        <v>1</v>
      </c>
      <c r="AG53" s="74">
        <v>1</v>
      </c>
      <c r="AH53" s="74">
        <v>1</v>
      </c>
      <c r="AI53" s="74">
        <v>1</v>
      </c>
      <c r="AJ53" s="74">
        <v>1</v>
      </c>
      <c r="AK53" s="74">
        <v>1</v>
      </c>
      <c r="AL53" s="74">
        <v>1</v>
      </c>
      <c r="AM53" s="74">
        <v>1</v>
      </c>
      <c r="AN53" s="74">
        <v>1</v>
      </c>
      <c r="AO53" s="74">
        <v>1</v>
      </c>
      <c r="AP53" s="74">
        <v>1</v>
      </c>
      <c r="AQ53" s="74">
        <v>1</v>
      </c>
      <c r="AR53" s="74">
        <v>1</v>
      </c>
      <c r="AS53" s="74">
        <v>1</v>
      </c>
      <c r="AT53" s="74">
        <v>1</v>
      </c>
      <c r="AU53" s="74">
        <v>1</v>
      </c>
      <c r="AV53" s="74">
        <v>1</v>
      </c>
      <c r="AW53" s="74">
        <v>1</v>
      </c>
      <c r="AX53" s="74">
        <v>1</v>
      </c>
      <c r="AY53" s="74">
        <v>1</v>
      </c>
      <c r="AZ53" s="7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">
      <c r="B54" s="80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78">
        <v>0</v>
      </c>
      <c r="H54" s="74">
        <v>0</v>
      </c>
      <c r="I54" s="74">
        <v>0</v>
      </c>
      <c r="J54" s="74">
        <v>0</v>
      </c>
      <c r="K54" s="74">
        <v>0</v>
      </c>
      <c r="L54" s="74">
        <v>0</v>
      </c>
      <c r="M54" s="74">
        <v>0</v>
      </c>
      <c r="N54" s="74">
        <v>0</v>
      </c>
      <c r="O54" s="74">
        <v>0</v>
      </c>
      <c r="P54" s="74">
        <v>0</v>
      </c>
      <c r="Q54" s="74">
        <v>0</v>
      </c>
      <c r="R54" s="74">
        <v>0</v>
      </c>
      <c r="S54" s="74">
        <v>0</v>
      </c>
      <c r="T54" s="74">
        <v>0</v>
      </c>
      <c r="U54" s="74">
        <v>0</v>
      </c>
      <c r="V54" s="74">
        <v>0</v>
      </c>
      <c r="W54" s="74">
        <v>0</v>
      </c>
      <c r="X54" s="74">
        <v>0</v>
      </c>
      <c r="Y54" s="74">
        <v>0</v>
      </c>
      <c r="Z54" s="74">
        <v>0</v>
      </c>
      <c r="AA54" s="74">
        <v>0</v>
      </c>
      <c r="AB54" s="74">
        <v>0</v>
      </c>
      <c r="AC54" s="74">
        <v>0</v>
      </c>
      <c r="AD54" s="74">
        <v>0</v>
      </c>
      <c r="AE54" s="78">
        <v>0</v>
      </c>
      <c r="AF54" s="74">
        <v>0</v>
      </c>
      <c r="AG54" s="74">
        <v>0</v>
      </c>
      <c r="AH54" s="74">
        <v>0</v>
      </c>
      <c r="AI54" s="74">
        <v>0</v>
      </c>
      <c r="AJ54" s="74">
        <v>0</v>
      </c>
      <c r="AK54" s="74">
        <v>0</v>
      </c>
      <c r="AL54" s="74">
        <v>0</v>
      </c>
      <c r="AM54" s="74">
        <v>0</v>
      </c>
      <c r="AN54" s="74">
        <v>0</v>
      </c>
      <c r="AO54" s="74">
        <v>0</v>
      </c>
      <c r="AP54" s="74">
        <v>0</v>
      </c>
      <c r="AQ54" s="74">
        <v>0</v>
      </c>
      <c r="AR54" s="74">
        <v>0</v>
      </c>
      <c r="AS54" s="74">
        <v>0</v>
      </c>
      <c r="AT54" s="74">
        <v>0</v>
      </c>
      <c r="AU54" s="74">
        <v>0</v>
      </c>
      <c r="AV54" s="74">
        <v>0</v>
      </c>
      <c r="AW54" s="74">
        <v>0</v>
      </c>
      <c r="AX54" s="74">
        <v>0</v>
      </c>
      <c r="AY54" s="74">
        <v>0</v>
      </c>
      <c r="AZ54" s="74">
        <v>0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">
      <c r="B55" s="80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78">
        <v>1</v>
      </c>
      <c r="H55" s="74">
        <v>1</v>
      </c>
      <c r="I55" s="74">
        <v>1</v>
      </c>
      <c r="J55" s="74">
        <v>1</v>
      </c>
      <c r="K55" s="74">
        <v>1</v>
      </c>
      <c r="L55" s="74">
        <v>1</v>
      </c>
      <c r="M55" s="74">
        <v>1</v>
      </c>
      <c r="N55" s="74">
        <v>1</v>
      </c>
      <c r="O55" s="74">
        <v>1</v>
      </c>
      <c r="P55" s="74">
        <v>1</v>
      </c>
      <c r="Q55" s="74">
        <v>1</v>
      </c>
      <c r="R55" s="74">
        <v>1</v>
      </c>
      <c r="S55" s="74">
        <v>1</v>
      </c>
      <c r="T55" s="74">
        <v>1</v>
      </c>
      <c r="U55" s="74">
        <v>1</v>
      </c>
      <c r="V55" s="74">
        <v>1</v>
      </c>
      <c r="W55" s="74">
        <v>1</v>
      </c>
      <c r="X55" s="74">
        <v>1</v>
      </c>
      <c r="Y55" s="74">
        <v>1</v>
      </c>
      <c r="Z55" s="74">
        <v>1</v>
      </c>
      <c r="AA55" s="74">
        <v>1</v>
      </c>
      <c r="AB55" s="74">
        <v>1</v>
      </c>
      <c r="AC55" s="74">
        <v>1</v>
      </c>
      <c r="AD55" s="74">
        <v>1</v>
      </c>
      <c r="AE55" s="78">
        <v>1</v>
      </c>
      <c r="AF55" s="74">
        <v>1</v>
      </c>
      <c r="AG55" s="74">
        <v>1</v>
      </c>
      <c r="AH55" s="74">
        <v>1</v>
      </c>
      <c r="AI55" s="74">
        <v>1</v>
      </c>
      <c r="AJ55" s="74">
        <v>1</v>
      </c>
      <c r="AK55" s="74">
        <v>1</v>
      </c>
      <c r="AL55" s="74">
        <v>1</v>
      </c>
      <c r="AM55" s="74">
        <v>1</v>
      </c>
      <c r="AN55" s="74">
        <v>1</v>
      </c>
      <c r="AO55" s="74">
        <v>1</v>
      </c>
      <c r="AP55" s="74">
        <v>1</v>
      </c>
      <c r="AQ55" s="74">
        <v>1</v>
      </c>
      <c r="AR55" s="74">
        <v>1</v>
      </c>
      <c r="AS55" s="74">
        <v>1</v>
      </c>
      <c r="AT55" s="74">
        <v>1</v>
      </c>
      <c r="AU55" s="74">
        <v>1</v>
      </c>
      <c r="AV55" s="74">
        <v>1</v>
      </c>
      <c r="AW55" s="74">
        <v>1</v>
      </c>
      <c r="AX55" s="74">
        <v>1</v>
      </c>
      <c r="AY55" s="74">
        <v>1</v>
      </c>
      <c r="AZ55" s="74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">
      <c r="B56" s="80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78">
        <v>1</v>
      </c>
      <c r="H56" s="74">
        <v>1</v>
      </c>
      <c r="I56" s="74">
        <v>1</v>
      </c>
      <c r="J56" s="74">
        <v>1</v>
      </c>
      <c r="K56" s="74">
        <v>1</v>
      </c>
      <c r="L56" s="74">
        <v>1</v>
      </c>
      <c r="M56" s="74">
        <v>1</v>
      </c>
      <c r="N56" s="74">
        <v>1</v>
      </c>
      <c r="O56" s="74">
        <v>1</v>
      </c>
      <c r="P56" s="74">
        <v>1</v>
      </c>
      <c r="Q56" s="74">
        <v>1</v>
      </c>
      <c r="R56" s="74">
        <v>1</v>
      </c>
      <c r="S56" s="74">
        <v>1</v>
      </c>
      <c r="T56" s="74">
        <v>1</v>
      </c>
      <c r="U56" s="74">
        <v>1</v>
      </c>
      <c r="V56" s="74">
        <v>1</v>
      </c>
      <c r="W56" s="74">
        <v>1</v>
      </c>
      <c r="X56" s="74">
        <v>1</v>
      </c>
      <c r="Y56" s="74">
        <v>1</v>
      </c>
      <c r="Z56" s="74">
        <v>1</v>
      </c>
      <c r="AA56" s="74">
        <v>1</v>
      </c>
      <c r="AB56" s="74">
        <v>1</v>
      </c>
      <c r="AC56" s="74">
        <v>1</v>
      </c>
      <c r="AD56" s="74">
        <v>1</v>
      </c>
      <c r="AE56" s="78">
        <v>1</v>
      </c>
      <c r="AF56" s="74">
        <v>1</v>
      </c>
      <c r="AG56" s="74">
        <v>1</v>
      </c>
      <c r="AH56" s="74">
        <v>1</v>
      </c>
      <c r="AI56" s="74">
        <v>1</v>
      </c>
      <c r="AJ56" s="74">
        <v>1</v>
      </c>
      <c r="AK56" s="74">
        <v>1</v>
      </c>
      <c r="AL56" s="74">
        <v>1</v>
      </c>
      <c r="AM56" s="74">
        <v>1</v>
      </c>
      <c r="AN56" s="74">
        <v>1</v>
      </c>
      <c r="AO56" s="74">
        <v>1</v>
      </c>
      <c r="AP56" s="74">
        <v>1</v>
      </c>
      <c r="AQ56" s="74">
        <v>1</v>
      </c>
      <c r="AR56" s="74">
        <v>1</v>
      </c>
      <c r="AS56" s="74">
        <v>1</v>
      </c>
      <c r="AT56" s="74">
        <v>1</v>
      </c>
      <c r="AU56" s="74">
        <v>1</v>
      </c>
      <c r="AV56" s="74">
        <v>1</v>
      </c>
      <c r="AW56" s="74">
        <v>1</v>
      </c>
      <c r="AX56" s="74">
        <v>1</v>
      </c>
      <c r="AY56" s="74">
        <v>1</v>
      </c>
      <c r="AZ56" s="74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">
      <c r="B57" s="80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78">
        <v>1</v>
      </c>
      <c r="H57" s="78">
        <v>1</v>
      </c>
      <c r="I57" s="78">
        <v>1</v>
      </c>
      <c r="J57" s="78">
        <v>1</v>
      </c>
      <c r="K57" s="78">
        <v>1</v>
      </c>
      <c r="L57" s="78">
        <v>1</v>
      </c>
      <c r="M57" s="78">
        <v>1</v>
      </c>
      <c r="N57" s="78">
        <v>1</v>
      </c>
      <c r="O57" s="78">
        <v>1</v>
      </c>
      <c r="P57" s="78">
        <v>1</v>
      </c>
      <c r="Q57" s="78">
        <v>1</v>
      </c>
      <c r="R57" s="78">
        <v>1</v>
      </c>
      <c r="S57" s="78">
        <v>1</v>
      </c>
      <c r="T57" s="78">
        <v>1</v>
      </c>
      <c r="U57" s="78">
        <v>1</v>
      </c>
      <c r="V57" s="78">
        <v>1</v>
      </c>
      <c r="W57" s="78">
        <v>1</v>
      </c>
      <c r="X57" s="78">
        <v>1</v>
      </c>
      <c r="Y57" s="78">
        <v>1</v>
      </c>
      <c r="Z57" s="78">
        <v>1</v>
      </c>
      <c r="AA57" s="78">
        <v>1</v>
      </c>
      <c r="AB57" s="78">
        <v>1</v>
      </c>
      <c r="AC57" s="74">
        <v>1</v>
      </c>
      <c r="AD57" s="74">
        <v>1</v>
      </c>
      <c r="AE57" s="78">
        <v>1</v>
      </c>
      <c r="AF57" s="78">
        <v>1</v>
      </c>
      <c r="AG57" s="78">
        <v>1</v>
      </c>
      <c r="AH57" s="78">
        <v>1</v>
      </c>
      <c r="AI57" s="78">
        <v>1</v>
      </c>
      <c r="AJ57" s="78">
        <v>1</v>
      </c>
      <c r="AK57" s="78">
        <v>1</v>
      </c>
      <c r="AL57" s="78">
        <v>1</v>
      </c>
      <c r="AM57" s="78">
        <v>1</v>
      </c>
      <c r="AN57" s="78">
        <v>1</v>
      </c>
      <c r="AO57" s="78">
        <v>1</v>
      </c>
      <c r="AP57" s="78">
        <v>1</v>
      </c>
      <c r="AQ57" s="78">
        <v>1</v>
      </c>
      <c r="AR57" s="78">
        <v>1</v>
      </c>
      <c r="AS57" s="78">
        <v>1</v>
      </c>
      <c r="AT57" s="78">
        <v>1</v>
      </c>
      <c r="AU57" s="78">
        <v>1</v>
      </c>
      <c r="AV57" s="78">
        <v>1</v>
      </c>
      <c r="AW57" s="78">
        <v>1</v>
      </c>
      <c r="AX57" s="78">
        <v>1</v>
      </c>
      <c r="AY57" s="78">
        <v>1</v>
      </c>
      <c r="AZ57" s="78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">
      <c r="B58" s="80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78">
        <v>1</v>
      </c>
      <c r="H58" s="74">
        <v>1</v>
      </c>
      <c r="I58" s="74">
        <v>1</v>
      </c>
      <c r="J58" s="74">
        <v>1</v>
      </c>
      <c r="K58" s="74">
        <v>1</v>
      </c>
      <c r="L58" s="74">
        <v>1</v>
      </c>
      <c r="M58" s="74">
        <v>1</v>
      </c>
      <c r="N58" s="74">
        <v>1</v>
      </c>
      <c r="O58" s="74">
        <v>1</v>
      </c>
      <c r="P58" s="74">
        <v>1</v>
      </c>
      <c r="Q58" s="74">
        <v>1</v>
      </c>
      <c r="R58" s="74">
        <v>1</v>
      </c>
      <c r="S58" s="74">
        <v>1</v>
      </c>
      <c r="T58" s="74">
        <v>1</v>
      </c>
      <c r="U58" s="74">
        <v>1</v>
      </c>
      <c r="V58" s="74">
        <v>1</v>
      </c>
      <c r="W58" s="74">
        <v>1</v>
      </c>
      <c r="X58" s="74">
        <v>1</v>
      </c>
      <c r="Y58" s="74">
        <v>1</v>
      </c>
      <c r="Z58" s="74">
        <v>1</v>
      </c>
      <c r="AA58" s="74">
        <v>1</v>
      </c>
      <c r="AB58" s="74">
        <v>1</v>
      </c>
      <c r="AC58" s="74">
        <v>1</v>
      </c>
      <c r="AD58" s="74">
        <v>1</v>
      </c>
      <c r="AE58" s="78">
        <v>1</v>
      </c>
      <c r="AF58" s="74">
        <v>1</v>
      </c>
      <c r="AG58" s="74">
        <v>1</v>
      </c>
      <c r="AH58" s="74">
        <v>1</v>
      </c>
      <c r="AI58" s="74">
        <v>1</v>
      </c>
      <c r="AJ58" s="74">
        <v>1</v>
      </c>
      <c r="AK58" s="74">
        <v>1</v>
      </c>
      <c r="AL58" s="74">
        <v>1</v>
      </c>
      <c r="AM58" s="74">
        <v>1</v>
      </c>
      <c r="AN58" s="74">
        <v>1</v>
      </c>
      <c r="AO58" s="74">
        <v>1</v>
      </c>
      <c r="AP58" s="74">
        <v>1</v>
      </c>
      <c r="AQ58" s="74">
        <v>1</v>
      </c>
      <c r="AR58" s="74">
        <v>1</v>
      </c>
      <c r="AS58" s="74">
        <v>1</v>
      </c>
      <c r="AT58" s="74">
        <v>1</v>
      </c>
      <c r="AU58" s="74">
        <v>1</v>
      </c>
      <c r="AV58" s="74">
        <v>1</v>
      </c>
      <c r="AW58" s="74">
        <v>1</v>
      </c>
      <c r="AX58" s="74">
        <v>1</v>
      </c>
      <c r="AY58" s="74">
        <v>1</v>
      </c>
      <c r="AZ58" s="74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">
      <c r="B59" s="80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78">
        <v>1</v>
      </c>
      <c r="H59" s="74">
        <v>1</v>
      </c>
      <c r="I59" s="74">
        <v>1</v>
      </c>
      <c r="J59" s="74">
        <v>1</v>
      </c>
      <c r="K59" s="74">
        <v>1</v>
      </c>
      <c r="L59" s="74">
        <v>1</v>
      </c>
      <c r="M59" s="74">
        <v>1</v>
      </c>
      <c r="N59" s="74">
        <v>1</v>
      </c>
      <c r="O59" s="74">
        <v>1</v>
      </c>
      <c r="P59" s="74">
        <v>1</v>
      </c>
      <c r="Q59" s="74">
        <v>1</v>
      </c>
      <c r="R59" s="74">
        <v>1</v>
      </c>
      <c r="S59" s="74">
        <v>1</v>
      </c>
      <c r="T59" s="74">
        <v>1</v>
      </c>
      <c r="U59" s="74">
        <v>1</v>
      </c>
      <c r="V59" s="74">
        <v>1</v>
      </c>
      <c r="W59" s="74">
        <v>1</v>
      </c>
      <c r="X59" s="74">
        <v>1</v>
      </c>
      <c r="Y59" s="74">
        <v>1</v>
      </c>
      <c r="Z59" s="74">
        <v>1</v>
      </c>
      <c r="AA59" s="74">
        <v>1</v>
      </c>
      <c r="AB59" s="74">
        <v>1</v>
      </c>
      <c r="AC59" s="74">
        <v>1</v>
      </c>
      <c r="AD59" s="74">
        <v>1</v>
      </c>
      <c r="AE59" s="78">
        <v>1</v>
      </c>
      <c r="AF59" s="74">
        <v>1</v>
      </c>
      <c r="AG59" s="74">
        <v>1</v>
      </c>
      <c r="AH59" s="74">
        <v>1</v>
      </c>
      <c r="AI59" s="74">
        <v>1</v>
      </c>
      <c r="AJ59" s="74">
        <v>1</v>
      </c>
      <c r="AK59" s="74">
        <v>1</v>
      </c>
      <c r="AL59" s="74">
        <v>1</v>
      </c>
      <c r="AM59" s="74">
        <v>1</v>
      </c>
      <c r="AN59" s="74">
        <v>1</v>
      </c>
      <c r="AO59" s="74">
        <v>1</v>
      </c>
      <c r="AP59" s="74">
        <v>1</v>
      </c>
      <c r="AQ59" s="74">
        <v>1</v>
      </c>
      <c r="AR59" s="74">
        <v>1</v>
      </c>
      <c r="AS59" s="74">
        <v>1</v>
      </c>
      <c r="AT59" s="74">
        <v>1</v>
      </c>
      <c r="AU59" s="74">
        <v>1</v>
      </c>
      <c r="AV59" s="74">
        <v>1</v>
      </c>
      <c r="AW59" s="74">
        <v>1</v>
      </c>
      <c r="AX59" s="74">
        <v>1</v>
      </c>
      <c r="AY59" s="74">
        <v>1</v>
      </c>
      <c r="AZ59" s="74">
        <v>1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">
      <c r="B60" s="80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78">
        <v>1</v>
      </c>
      <c r="H60" s="74">
        <v>1</v>
      </c>
      <c r="I60" s="74">
        <v>1</v>
      </c>
      <c r="J60" s="74">
        <v>1</v>
      </c>
      <c r="K60" s="74">
        <v>1</v>
      </c>
      <c r="L60" s="74">
        <v>1</v>
      </c>
      <c r="M60" s="74">
        <v>1</v>
      </c>
      <c r="N60" s="74">
        <v>1</v>
      </c>
      <c r="O60" s="74">
        <v>1</v>
      </c>
      <c r="P60" s="74">
        <v>1</v>
      </c>
      <c r="Q60" s="74">
        <v>1</v>
      </c>
      <c r="R60" s="74">
        <v>1</v>
      </c>
      <c r="S60" s="74">
        <v>1</v>
      </c>
      <c r="T60" s="74">
        <v>1</v>
      </c>
      <c r="U60" s="74">
        <v>1</v>
      </c>
      <c r="V60" s="74">
        <v>1</v>
      </c>
      <c r="W60" s="74">
        <v>1</v>
      </c>
      <c r="X60" s="74">
        <v>1</v>
      </c>
      <c r="Y60" s="74">
        <v>1</v>
      </c>
      <c r="Z60" s="74">
        <v>1</v>
      </c>
      <c r="AA60" s="74">
        <v>1</v>
      </c>
      <c r="AB60" s="74">
        <v>1</v>
      </c>
      <c r="AC60" s="74">
        <v>1</v>
      </c>
      <c r="AD60" s="74">
        <v>1</v>
      </c>
      <c r="AE60" s="78">
        <v>1</v>
      </c>
      <c r="AF60" s="74">
        <v>1</v>
      </c>
      <c r="AG60" s="74">
        <v>1</v>
      </c>
      <c r="AH60" s="74">
        <v>1</v>
      </c>
      <c r="AI60" s="74">
        <v>1</v>
      </c>
      <c r="AJ60" s="74">
        <v>1</v>
      </c>
      <c r="AK60" s="74">
        <v>1</v>
      </c>
      <c r="AL60" s="74">
        <v>1</v>
      </c>
      <c r="AM60" s="74">
        <v>1</v>
      </c>
      <c r="AN60" s="74">
        <v>1</v>
      </c>
      <c r="AO60" s="74">
        <v>1</v>
      </c>
      <c r="AP60" s="74">
        <v>1</v>
      </c>
      <c r="AQ60" s="74">
        <v>1</v>
      </c>
      <c r="AR60" s="74">
        <v>1</v>
      </c>
      <c r="AS60" s="74">
        <v>1</v>
      </c>
      <c r="AT60" s="74">
        <v>1</v>
      </c>
      <c r="AU60" s="74">
        <v>1</v>
      </c>
      <c r="AV60" s="74">
        <v>1</v>
      </c>
      <c r="AW60" s="74">
        <v>1</v>
      </c>
      <c r="AX60" s="74">
        <v>1</v>
      </c>
      <c r="AY60" s="74">
        <v>1</v>
      </c>
      <c r="AZ60" s="7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">
      <c r="B61" s="80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78">
        <v>1</v>
      </c>
      <c r="H61" s="74">
        <v>1</v>
      </c>
      <c r="I61" s="74">
        <v>1</v>
      </c>
      <c r="J61" s="74">
        <v>1</v>
      </c>
      <c r="K61" s="74">
        <v>1</v>
      </c>
      <c r="L61" s="74">
        <v>1</v>
      </c>
      <c r="M61" s="74">
        <v>1</v>
      </c>
      <c r="N61" s="74">
        <v>1</v>
      </c>
      <c r="O61" s="74">
        <v>1</v>
      </c>
      <c r="P61" s="74">
        <v>1</v>
      </c>
      <c r="Q61" s="74">
        <v>1</v>
      </c>
      <c r="R61" s="74">
        <v>1</v>
      </c>
      <c r="S61" s="74">
        <v>1</v>
      </c>
      <c r="T61" s="74">
        <v>1</v>
      </c>
      <c r="U61" s="74">
        <v>1</v>
      </c>
      <c r="V61" s="74">
        <v>1</v>
      </c>
      <c r="W61" s="74">
        <v>1</v>
      </c>
      <c r="X61" s="74">
        <v>1</v>
      </c>
      <c r="Y61" s="74">
        <v>1</v>
      </c>
      <c r="Z61" s="74">
        <v>1</v>
      </c>
      <c r="AA61" s="74">
        <v>1</v>
      </c>
      <c r="AB61" s="74">
        <v>1</v>
      </c>
      <c r="AC61" s="74">
        <v>1</v>
      </c>
      <c r="AD61" s="74">
        <v>1</v>
      </c>
      <c r="AE61" s="78">
        <v>1</v>
      </c>
      <c r="AF61" s="74">
        <v>1</v>
      </c>
      <c r="AG61" s="74">
        <v>1</v>
      </c>
      <c r="AH61" s="74">
        <v>1</v>
      </c>
      <c r="AI61" s="74">
        <v>1</v>
      </c>
      <c r="AJ61" s="74">
        <v>1</v>
      </c>
      <c r="AK61" s="74">
        <v>1</v>
      </c>
      <c r="AL61" s="74">
        <v>1</v>
      </c>
      <c r="AM61" s="74">
        <v>1</v>
      </c>
      <c r="AN61" s="74">
        <v>1</v>
      </c>
      <c r="AO61" s="74">
        <v>1</v>
      </c>
      <c r="AP61" s="74">
        <v>1</v>
      </c>
      <c r="AQ61" s="74">
        <v>1</v>
      </c>
      <c r="AR61" s="74">
        <v>1</v>
      </c>
      <c r="AS61" s="74">
        <v>1</v>
      </c>
      <c r="AT61" s="74">
        <v>1</v>
      </c>
      <c r="AU61" s="74">
        <v>1</v>
      </c>
      <c r="AV61" s="74">
        <v>1</v>
      </c>
      <c r="AW61" s="74">
        <v>1</v>
      </c>
      <c r="AX61" s="74">
        <v>1</v>
      </c>
      <c r="AY61" s="74">
        <v>1</v>
      </c>
      <c r="AZ61" s="74">
        <v>1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">
      <c r="A62" s="27" t="s">
        <v>122</v>
      </c>
      <c r="B62" s="104" t="s">
        <v>108</v>
      </c>
      <c r="C62" s="108" t="s">
        <v>131</v>
      </c>
      <c r="D62" s="109">
        <v>5.2</v>
      </c>
      <c r="E62" s="108" t="s">
        <v>127</v>
      </c>
      <c r="F62" s="108" t="s">
        <v>124</v>
      </c>
      <c r="G62" s="78">
        <v>0</v>
      </c>
      <c r="H62" s="74">
        <v>0</v>
      </c>
      <c r="I62" s="74">
        <v>0</v>
      </c>
      <c r="J62" s="74">
        <v>0</v>
      </c>
      <c r="K62" s="74">
        <v>0</v>
      </c>
      <c r="L62" s="74">
        <v>0</v>
      </c>
      <c r="M62" s="74">
        <v>0</v>
      </c>
      <c r="N62" s="74">
        <v>0</v>
      </c>
      <c r="O62" s="74">
        <v>0</v>
      </c>
      <c r="P62" s="74">
        <v>0</v>
      </c>
      <c r="Q62" s="74">
        <v>0</v>
      </c>
      <c r="R62" s="74">
        <v>0</v>
      </c>
      <c r="S62" s="74">
        <v>0</v>
      </c>
      <c r="T62" s="74">
        <v>0</v>
      </c>
      <c r="U62" s="74">
        <v>0</v>
      </c>
      <c r="V62" s="74">
        <v>0</v>
      </c>
      <c r="W62" s="74">
        <v>0</v>
      </c>
      <c r="X62" s="74">
        <v>0</v>
      </c>
      <c r="Y62" s="74">
        <v>0</v>
      </c>
      <c r="Z62" s="74">
        <v>0</v>
      </c>
      <c r="AA62" s="74">
        <v>0</v>
      </c>
      <c r="AB62" s="74">
        <v>0</v>
      </c>
      <c r="AC62" s="74">
        <v>0</v>
      </c>
      <c r="AD62" s="74">
        <v>0</v>
      </c>
      <c r="AE62" s="78">
        <v>0</v>
      </c>
      <c r="AF62" s="74">
        <v>0</v>
      </c>
      <c r="AG62" s="74">
        <v>0</v>
      </c>
      <c r="AH62" s="74">
        <v>0</v>
      </c>
      <c r="AI62" s="74">
        <v>0</v>
      </c>
      <c r="AJ62" s="74">
        <v>0</v>
      </c>
      <c r="AK62" s="74">
        <v>0</v>
      </c>
      <c r="AL62" s="74">
        <v>0</v>
      </c>
      <c r="AM62" s="74">
        <v>0</v>
      </c>
      <c r="AN62" s="74">
        <v>0</v>
      </c>
      <c r="AO62" s="74">
        <v>0</v>
      </c>
      <c r="AP62" s="74">
        <v>0</v>
      </c>
      <c r="AQ62" s="74">
        <v>0</v>
      </c>
      <c r="AR62" s="74">
        <v>0</v>
      </c>
      <c r="AS62" s="74">
        <v>0</v>
      </c>
      <c r="AT62" s="74">
        <v>0</v>
      </c>
      <c r="AU62" s="74">
        <v>0</v>
      </c>
      <c r="AV62" s="74">
        <v>0</v>
      </c>
      <c r="AW62" s="74">
        <v>0</v>
      </c>
      <c r="AX62" s="74">
        <v>0</v>
      </c>
      <c r="AY62" s="74">
        <v>0</v>
      </c>
      <c r="AZ62" s="74">
        <v>0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">
      <c r="B63" s="80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78">
        <v>1</v>
      </c>
      <c r="H63" s="74">
        <v>1</v>
      </c>
      <c r="I63" s="74">
        <v>1</v>
      </c>
      <c r="J63" s="74">
        <v>1</v>
      </c>
      <c r="K63" s="74">
        <v>1</v>
      </c>
      <c r="L63" s="74">
        <v>1</v>
      </c>
      <c r="M63" s="74">
        <v>1</v>
      </c>
      <c r="N63" s="74">
        <v>1</v>
      </c>
      <c r="O63" s="74">
        <v>1</v>
      </c>
      <c r="P63" s="74">
        <v>1</v>
      </c>
      <c r="Q63" s="74">
        <v>1</v>
      </c>
      <c r="R63" s="74">
        <v>1</v>
      </c>
      <c r="S63" s="74">
        <v>1</v>
      </c>
      <c r="T63" s="74">
        <v>1</v>
      </c>
      <c r="U63" s="74">
        <v>1</v>
      </c>
      <c r="V63" s="74">
        <v>1</v>
      </c>
      <c r="W63" s="74">
        <v>1</v>
      </c>
      <c r="X63" s="74">
        <v>1</v>
      </c>
      <c r="Y63" s="74">
        <v>1</v>
      </c>
      <c r="Z63" s="74">
        <v>1</v>
      </c>
      <c r="AA63" s="74">
        <v>1</v>
      </c>
      <c r="AB63" s="74">
        <v>1</v>
      </c>
      <c r="AC63" s="74">
        <v>1</v>
      </c>
      <c r="AD63" s="74">
        <v>1</v>
      </c>
      <c r="AE63" s="78">
        <v>1</v>
      </c>
      <c r="AF63" s="74">
        <v>1</v>
      </c>
      <c r="AG63" s="74">
        <v>1</v>
      </c>
      <c r="AH63" s="74">
        <v>1</v>
      </c>
      <c r="AI63" s="74">
        <v>1</v>
      </c>
      <c r="AJ63" s="74">
        <v>1</v>
      </c>
      <c r="AK63" s="74">
        <v>1</v>
      </c>
      <c r="AL63" s="74">
        <v>1</v>
      </c>
      <c r="AM63" s="74">
        <v>1</v>
      </c>
      <c r="AN63" s="74">
        <v>1</v>
      </c>
      <c r="AO63" s="74">
        <v>1</v>
      </c>
      <c r="AP63" s="74">
        <v>1</v>
      </c>
      <c r="AQ63" s="74">
        <v>1</v>
      </c>
      <c r="AR63" s="74">
        <v>1</v>
      </c>
      <c r="AS63" s="74">
        <v>1</v>
      </c>
      <c r="AT63" s="74">
        <v>1</v>
      </c>
      <c r="AU63" s="74">
        <v>1</v>
      </c>
      <c r="AV63" s="74">
        <v>1</v>
      </c>
      <c r="AW63" s="74">
        <v>1</v>
      </c>
      <c r="AX63" s="74">
        <v>1</v>
      </c>
      <c r="AY63" s="74">
        <v>1</v>
      </c>
      <c r="AZ63" s="7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">
      <c r="B64" s="80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78">
        <v>1</v>
      </c>
      <c r="H64" s="74">
        <v>1</v>
      </c>
      <c r="I64" s="74">
        <v>1</v>
      </c>
      <c r="J64" s="74">
        <v>1</v>
      </c>
      <c r="K64" s="74">
        <v>1</v>
      </c>
      <c r="L64" s="74">
        <v>1</v>
      </c>
      <c r="M64" s="74">
        <v>1</v>
      </c>
      <c r="N64" s="74">
        <v>1</v>
      </c>
      <c r="O64" s="74">
        <v>1</v>
      </c>
      <c r="P64" s="74">
        <v>1</v>
      </c>
      <c r="Q64" s="74">
        <v>1</v>
      </c>
      <c r="R64" s="74">
        <v>1</v>
      </c>
      <c r="S64" s="74">
        <v>1</v>
      </c>
      <c r="T64" s="74">
        <v>1</v>
      </c>
      <c r="U64" s="74">
        <v>1</v>
      </c>
      <c r="V64" s="74">
        <v>1</v>
      </c>
      <c r="W64" s="74">
        <v>1</v>
      </c>
      <c r="X64" s="74">
        <v>1</v>
      </c>
      <c r="Y64" s="74">
        <v>1</v>
      </c>
      <c r="Z64" s="74">
        <v>1</v>
      </c>
      <c r="AA64" s="74">
        <v>1</v>
      </c>
      <c r="AB64" s="74">
        <v>1</v>
      </c>
      <c r="AC64" s="74">
        <v>1</v>
      </c>
      <c r="AD64" s="74">
        <v>1</v>
      </c>
      <c r="AE64" s="78">
        <v>1</v>
      </c>
      <c r="AF64" s="74">
        <v>1</v>
      </c>
      <c r="AG64" s="74">
        <v>1</v>
      </c>
      <c r="AH64" s="74">
        <v>1</v>
      </c>
      <c r="AI64" s="74">
        <v>1</v>
      </c>
      <c r="AJ64" s="74">
        <v>1</v>
      </c>
      <c r="AK64" s="74">
        <v>1</v>
      </c>
      <c r="AL64" s="74">
        <v>1</v>
      </c>
      <c r="AM64" s="74">
        <v>1</v>
      </c>
      <c r="AN64" s="74">
        <v>1</v>
      </c>
      <c r="AO64" s="74">
        <v>1</v>
      </c>
      <c r="AP64" s="74">
        <v>1</v>
      </c>
      <c r="AQ64" s="74">
        <v>1</v>
      </c>
      <c r="AR64" s="74">
        <v>1</v>
      </c>
      <c r="AS64" s="74">
        <v>1</v>
      </c>
      <c r="AT64" s="74">
        <v>1</v>
      </c>
      <c r="AU64" s="74">
        <v>1</v>
      </c>
      <c r="AV64" s="74">
        <v>1</v>
      </c>
      <c r="AW64" s="74">
        <v>1</v>
      </c>
      <c r="AX64" s="74">
        <v>1</v>
      </c>
      <c r="AY64" s="74">
        <v>1</v>
      </c>
      <c r="AZ64" s="74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">
      <c r="B65" s="80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78">
        <v>1</v>
      </c>
      <c r="H65" s="74">
        <v>1</v>
      </c>
      <c r="I65" s="74">
        <v>1</v>
      </c>
      <c r="J65" s="74">
        <v>1</v>
      </c>
      <c r="K65" s="74">
        <v>1</v>
      </c>
      <c r="L65" s="74">
        <v>1</v>
      </c>
      <c r="M65" s="74">
        <v>1</v>
      </c>
      <c r="N65" s="74">
        <v>1</v>
      </c>
      <c r="O65" s="74">
        <v>1</v>
      </c>
      <c r="P65" s="74">
        <v>1</v>
      </c>
      <c r="Q65" s="74">
        <v>1</v>
      </c>
      <c r="R65" s="74">
        <v>1</v>
      </c>
      <c r="S65" s="74">
        <v>1</v>
      </c>
      <c r="T65" s="74">
        <v>1</v>
      </c>
      <c r="U65" s="74">
        <v>1</v>
      </c>
      <c r="V65" s="74">
        <v>1</v>
      </c>
      <c r="W65" s="74">
        <v>1</v>
      </c>
      <c r="X65" s="74">
        <v>1</v>
      </c>
      <c r="Y65" s="74">
        <v>1</v>
      </c>
      <c r="Z65" s="74">
        <v>1</v>
      </c>
      <c r="AA65" s="74">
        <v>1</v>
      </c>
      <c r="AB65" s="74">
        <v>1</v>
      </c>
      <c r="AC65" s="74">
        <v>1</v>
      </c>
      <c r="AD65" s="74">
        <v>1</v>
      </c>
      <c r="AE65" s="78">
        <v>1</v>
      </c>
      <c r="AF65" s="74">
        <v>1</v>
      </c>
      <c r="AG65" s="74">
        <v>1</v>
      </c>
      <c r="AH65" s="74">
        <v>1</v>
      </c>
      <c r="AI65" s="74">
        <v>1</v>
      </c>
      <c r="AJ65" s="74">
        <v>1</v>
      </c>
      <c r="AK65" s="74">
        <v>1</v>
      </c>
      <c r="AL65" s="74">
        <v>1</v>
      </c>
      <c r="AM65" s="74">
        <v>1</v>
      </c>
      <c r="AN65" s="74">
        <v>1</v>
      </c>
      <c r="AO65" s="74">
        <v>1</v>
      </c>
      <c r="AP65" s="74">
        <v>1</v>
      </c>
      <c r="AQ65" s="74">
        <v>1</v>
      </c>
      <c r="AR65" s="74">
        <v>1</v>
      </c>
      <c r="AS65" s="74">
        <v>1</v>
      </c>
      <c r="AT65" s="74">
        <v>1</v>
      </c>
      <c r="AU65" s="74">
        <v>1</v>
      </c>
      <c r="AV65" s="74">
        <v>1</v>
      </c>
      <c r="AW65" s="74">
        <v>1</v>
      </c>
      <c r="AX65" s="74">
        <v>1</v>
      </c>
      <c r="AY65" s="74">
        <v>1</v>
      </c>
      <c r="AZ65" s="74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">
      <c r="B66" s="80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78">
        <v>1</v>
      </c>
      <c r="H66" s="74">
        <v>1</v>
      </c>
      <c r="I66" s="74">
        <v>1</v>
      </c>
      <c r="J66" s="74">
        <v>1</v>
      </c>
      <c r="K66" s="74">
        <v>1</v>
      </c>
      <c r="L66" s="74">
        <v>1</v>
      </c>
      <c r="M66" s="74">
        <v>1</v>
      </c>
      <c r="N66" s="74">
        <v>1</v>
      </c>
      <c r="O66" s="74">
        <v>1</v>
      </c>
      <c r="P66" s="74">
        <v>1</v>
      </c>
      <c r="Q66" s="74">
        <v>1</v>
      </c>
      <c r="R66" s="74">
        <v>1</v>
      </c>
      <c r="S66" s="74">
        <v>1</v>
      </c>
      <c r="T66" s="74">
        <v>1</v>
      </c>
      <c r="U66" s="74">
        <v>1</v>
      </c>
      <c r="V66" s="74">
        <v>1</v>
      </c>
      <c r="W66" s="74">
        <v>1</v>
      </c>
      <c r="X66" s="74">
        <v>1</v>
      </c>
      <c r="Y66" s="74">
        <v>1</v>
      </c>
      <c r="Z66" s="74">
        <v>1</v>
      </c>
      <c r="AA66" s="74">
        <v>1</v>
      </c>
      <c r="AB66" s="74">
        <v>1</v>
      </c>
      <c r="AC66" s="74">
        <v>1</v>
      </c>
      <c r="AD66" s="74">
        <v>1</v>
      </c>
      <c r="AE66" s="78">
        <v>1</v>
      </c>
      <c r="AF66" s="74">
        <v>1</v>
      </c>
      <c r="AG66" s="74">
        <v>1</v>
      </c>
      <c r="AH66" s="74">
        <v>1</v>
      </c>
      <c r="AI66" s="74">
        <v>1</v>
      </c>
      <c r="AJ66" s="74">
        <v>1</v>
      </c>
      <c r="AK66" s="74">
        <v>1</v>
      </c>
      <c r="AL66" s="74">
        <v>1</v>
      </c>
      <c r="AM66" s="74">
        <v>1</v>
      </c>
      <c r="AN66" s="74">
        <v>1</v>
      </c>
      <c r="AO66" s="74">
        <v>1</v>
      </c>
      <c r="AP66" s="74">
        <v>1</v>
      </c>
      <c r="AQ66" s="74">
        <v>1</v>
      </c>
      <c r="AR66" s="74">
        <v>1</v>
      </c>
      <c r="AS66" s="74">
        <v>1</v>
      </c>
      <c r="AT66" s="74">
        <v>1</v>
      </c>
      <c r="AU66" s="74">
        <v>1</v>
      </c>
      <c r="AV66" s="74">
        <v>1</v>
      </c>
      <c r="AW66" s="74">
        <v>1</v>
      </c>
      <c r="AX66" s="74">
        <v>1</v>
      </c>
      <c r="AY66" s="74">
        <v>1</v>
      </c>
      <c r="AZ66" s="74">
        <v>1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">
      <c r="B67" s="80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78">
        <v>0</v>
      </c>
      <c r="H67" s="74">
        <v>0</v>
      </c>
      <c r="I67" s="74">
        <v>0</v>
      </c>
      <c r="J67" s="74">
        <v>0</v>
      </c>
      <c r="K67" s="74">
        <v>0</v>
      </c>
      <c r="L67" s="74">
        <v>0</v>
      </c>
      <c r="M67" s="74">
        <v>0</v>
      </c>
      <c r="N67" s="74">
        <v>0</v>
      </c>
      <c r="O67" s="74">
        <v>0</v>
      </c>
      <c r="P67" s="74">
        <v>0</v>
      </c>
      <c r="Q67" s="74">
        <v>0</v>
      </c>
      <c r="R67" s="74">
        <v>0</v>
      </c>
      <c r="S67" s="74">
        <v>0</v>
      </c>
      <c r="T67" s="74">
        <v>0</v>
      </c>
      <c r="U67" s="74">
        <v>0</v>
      </c>
      <c r="V67" s="74">
        <v>0</v>
      </c>
      <c r="W67" s="74">
        <v>0</v>
      </c>
      <c r="X67" s="74">
        <v>0</v>
      </c>
      <c r="Y67" s="74">
        <v>0</v>
      </c>
      <c r="Z67" s="74">
        <v>0</v>
      </c>
      <c r="AA67" s="74">
        <v>0</v>
      </c>
      <c r="AB67" s="74">
        <v>0</v>
      </c>
      <c r="AC67" s="74">
        <v>0</v>
      </c>
      <c r="AD67" s="74">
        <v>0</v>
      </c>
      <c r="AE67" s="78">
        <v>0</v>
      </c>
      <c r="AF67" s="74">
        <v>0</v>
      </c>
      <c r="AG67" s="74">
        <v>0</v>
      </c>
      <c r="AH67" s="74">
        <v>0</v>
      </c>
      <c r="AI67" s="74">
        <v>0</v>
      </c>
      <c r="AJ67" s="74">
        <v>0</v>
      </c>
      <c r="AK67" s="74">
        <v>0</v>
      </c>
      <c r="AL67" s="74">
        <v>0</v>
      </c>
      <c r="AM67" s="74">
        <v>0</v>
      </c>
      <c r="AN67" s="74">
        <v>0</v>
      </c>
      <c r="AO67" s="74">
        <v>0</v>
      </c>
      <c r="AP67" s="74">
        <v>0</v>
      </c>
      <c r="AQ67" s="74">
        <v>0</v>
      </c>
      <c r="AR67" s="74">
        <v>0</v>
      </c>
      <c r="AS67" s="74">
        <v>0</v>
      </c>
      <c r="AT67" s="74">
        <v>0</v>
      </c>
      <c r="AU67" s="74">
        <v>0</v>
      </c>
      <c r="AV67" s="74">
        <v>0</v>
      </c>
      <c r="AW67" s="74">
        <v>0</v>
      </c>
      <c r="AX67" s="74">
        <v>0</v>
      </c>
      <c r="AY67" s="74">
        <v>0</v>
      </c>
      <c r="AZ67" s="74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">
      <c r="B68" s="80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78">
        <v>1</v>
      </c>
      <c r="H68" s="74">
        <v>1</v>
      </c>
      <c r="I68" s="74">
        <v>1</v>
      </c>
      <c r="J68" s="74">
        <v>1</v>
      </c>
      <c r="K68" s="74">
        <v>1</v>
      </c>
      <c r="L68" s="74">
        <v>1</v>
      </c>
      <c r="M68" s="74">
        <v>1</v>
      </c>
      <c r="N68" s="74">
        <v>1</v>
      </c>
      <c r="O68" s="74">
        <v>1</v>
      </c>
      <c r="P68" s="74">
        <v>1</v>
      </c>
      <c r="Q68" s="74">
        <v>1</v>
      </c>
      <c r="R68" s="74">
        <v>1</v>
      </c>
      <c r="S68" s="74">
        <v>1</v>
      </c>
      <c r="T68" s="74">
        <v>1</v>
      </c>
      <c r="U68" s="74">
        <v>1</v>
      </c>
      <c r="V68" s="74">
        <v>1</v>
      </c>
      <c r="W68" s="74">
        <v>1</v>
      </c>
      <c r="X68" s="74">
        <v>1</v>
      </c>
      <c r="Y68" s="74">
        <v>1</v>
      </c>
      <c r="Z68" s="74">
        <v>1</v>
      </c>
      <c r="AA68" s="74">
        <v>1</v>
      </c>
      <c r="AB68" s="74">
        <v>1</v>
      </c>
      <c r="AC68" s="74">
        <v>1</v>
      </c>
      <c r="AD68" s="74">
        <v>1</v>
      </c>
      <c r="AE68" s="78">
        <v>1</v>
      </c>
      <c r="AF68" s="74">
        <v>1</v>
      </c>
      <c r="AG68" s="74">
        <v>1</v>
      </c>
      <c r="AH68" s="74">
        <v>1</v>
      </c>
      <c r="AI68" s="74">
        <v>1</v>
      </c>
      <c r="AJ68" s="74">
        <v>1</v>
      </c>
      <c r="AK68" s="74">
        <v>1</v>
      </c>
      <c r="AL68" s="74">
        <v>1</v>
      </c>
      <c r="AM68" s="74">
        <v>1</v>
      </c>
      <c r="AN68" s="74">
        <v>1</v>
      </c>
      <c r="AO68" s="74">
        <v>1</v>
      </c>
      <c r="AP68" s="74">
        <v>1</v>
      </c>
      <c r="AQ68" s="74">
        <v>1</v>
      </c>
      <c r="AR68" s="74">
        <v>1</v>
      </c>
      <c r="AS68" s="74">
        <v>1</v>
      </c>
      <c r="AT68" s="74">
        <v>1</v>
      </c>
      <c r="AU68" s="74">
        <v>1</v>
      </c>
      <c r="AV68" s="74">
        <v>1</v>
      </c>
      <c r="AW68" s="74">
        <v>1</v>
      </c>
      <c r="AX68" s="74">
        <v>1</v>
      </c>
      <c r="AY68" s="74">
        <v>1</v>
      </c>
      <c r="AZ68" s="74">
        <v>1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">
      <c r="B69" s="80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78">
        <v>0</v>
      </c>
      <c r="H69" s="74">
        <v>0</v>
      </c>
      <c r="I69" s="74">
        <v>0</v>
      </c>
      <c r="J69" s="74">
        <v>0</v>
      </c>
      <c r="K69" s="74">
        <v>0</v>
      </c>
      <c r="L69" s="74">
        <v>0</v>
      </c>
      <c r="M69" s="74">
        <v>0</v>
      </c>
      <c r="N69" s="74">
        <v>0</v>
      </c>
      <c r="O69" s="74">
        <v>0</v>
      </c>
      <c r="P69" s="74">
        <v>0</v>
      </c>
      <c r="Q69" s="74">
        <v>0</v>
      </c>
      <c r="R69" s="74">
        <v>0</v>
      </c>
      <c r="S69" s="74">
        <v>0</v>
      </c>
      <c r="T69" s="74">
        <v>0</v>
      </c>
      <c r="U69" s="74">
        <v>0</v>
      </c>
      <c r="V69" s="74">
        <v>0</v>
      </c>
      <c r="W69" s="74">
        <v>0</v>
      </c>
      <c r="X69" s="74">
        <v>0</v>
      </c>
      <c r="Y69" s="74">
        <v>0</v>
      </c>
      <c r="Z69" s="74">
        <v>0</v>
      </c>
      <c r="AA69" s="74">
        <v>0</v>
      </c>
      <c r="AB69" s="74">
        <v>0</v>
      </c>
      <c r="AC69" s="74">
        <v>0</v>
      </c>
      <c r="AD69" s="74">
        <v>0</v>
      </c>
      <c r="AE69" s="78">
        <v>0</v>
      </c>
      <c r="AF69" s="74">
        <v>0</v>
      </c>
      <c r="AG69" s="74">
        <v>0</v>
      </c>
      <c r="AH69" s="74">
        <v>0</v>
      </c>
      <c r="AI69" s="74">
        <v>0</v>
      </c>
      <c r="AJ69" s="74">
        <v>0</v>
      </c>
      <c r="AK69" s="74">
        <v>0</v>
      </c>
      <c r="AL69" s="74">
        <v>0</v>
      </c>
      <c r="AM69" s="74">
        <v>0</v>
      </c>
      <c r="AN69" s="74">
        <v>0</v>
      </c>
      <c r="AO69" s="74">
        <v>0</v>
      </c>
      <c r="AP69" s="74">
        <v>0</v>
      </c>
      <c r="AQ69" s="74">
        <v>0</v>
      </c>
      <c r="AR69" s="74">
        <v>0</v>
      </c>
      <c r="AS69" s="74">
        <v>0</v>
      </c>
      <c r="AT69" s="74">
        <v>0</v>
      </c>
      <c r="AU69" s="74">
        <v>0</v>
      </c>
      <c r="AV69" s="74">
        <v>0</v>
      </c>
      <c r="AW69" s="74">
        <v>0</v>
      </c>
      <c r="AX69" s="74">
        <v>0</v>
      </c>
      <c r="AY69" s="74">
        <v>0</v>
      </c>
      <c r="AZ69" s="74">
        <v>0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">
      <c r="B70" s="80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78">
        <v>1</v>
      </c>
      <c r="H70" s="74">
        <v>1</v>
      </c>
      <c r="I70" s="74">
        <v>1</v>
      </c>
      <c r="J70" s="74">
        <v>1</v>
      </c>
      <c r="K70" s="74">
        <v>1</v>
      </c>
      <c r="L70" s="74">
        <v>1</v>
      </c>
      <c r="M70" s="74">
        <v>1</v>
      </c>
      <c r="N70" s="74">
        <v>1</v>
      </c>
      <c r="O70" s="74">
        <v>1</v>
      </c>
      <c r="P70" s="74">
        <v>1</v>
      </c>
      <c r="Q70" s="74">
        <v>1</v>
      </c>
      <c r="R70" s="74">
        <v>1</v>
      </c>
      <c r="S70" s="74">
        <v>1</v>
      </c>
      <c r="T70" s="74">
        <v>1</v>
      </c>
      <c r="U70" s="74">
        <v>1</v>
      </c>
      <c r="V70" s="74">
        <v>1</v>
      </c>
      <c r="W70" s="74">
        <v>1</v>
      </c>
      <c r="X70" s="74">
        <v>1</v>
      </c>
      <c r="Y70" s="74">
        <v>1</v>
      </c>
      <c r="Z70" s="74">
        <v>1</v>
      </c>
      <c r="AA70" s="74">
        <v>1</v>
      </c>
      <c r="AB70" s="74">
        <v>1</v>
      </c>
      <c r="AC70" s="74">
        <v>1</v>
      </c>
      <c r="AD70" s="74">
        <v>1</v>
      </c>
      <c r="AE70" s="78">
        <v>1</v>
      </c>
      <c r="AF70" s="74">
        <v>1</v>
      </c>
      <c r="AG70" s="74">
        <v>1</v>
      </c>
      <c r="AH70" s="74">
        <v>1</v>
      </c>
      <c r="AI70" s="74">
        <v>1</v>
      </c>
      <c r="AJ70" s="74">
        <v>1</v>
      </c>
      <c r="AK70" s="74">
        <v>1</v>
      </c>
      <c r="AL70" s="74">
        <v>1</v>
      </c>
      <c r="AM70" s="74">
        <v>1</v>
      </c>
      <c r="AN70" s="74">
        <v>1</v>
      </c>
      <c r="AO70" s="74">
        <v>1</v>
      </c>
      <c r="AP70" s="74">
        <v>1</v>
      </c>
      <c r="AQ70" s="74">
        <v>1</v>
      </c>
      <c r="AR70" s="74">
        <v>1</v>
      </c>
      <c r="AS70" s="74">
        <v>1</v>
      </c>
      <c r="AT70" s="74">
        <v>1</v>
      </c>
      <c r="AU70" s="74">
        <v>1</v>
      </c>
      <c r="AV70" s="74">
        <v>1</v>
      </c>
      <c r="AW70" s="74">
        <v>1</v>
      </c>
      <c r="AX70" s="74">
        <v>1</v>
      </c>
      <c r="AY70" s="74">
        <v>1</v>
      </c>
      <c r="AZ70" s="74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">
      <c r="B71" s="80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78">
        <v>1</v>
      </c>
      <c r="H71" s="74">
        <v>1</v>
      </c>
      <c r="I71" s="74">
        <v>1</v>
      </c>
      <c r="J71" s="74">
        <v>1</v>
      </c>
      <c r="K71" s="74">
        <v>1</v>
      </c>
      <c r="L71" s="74">
        <v>1</v>
      </c>
      <c r="M71" s="74">
        <v>1</v>
      </c>
      <c r="N71" s="74">
        <v>1</v>
      </c>
      <c r="O71" s="74">
        <v>1</v>
      </c>
      <c r="P71" s="74">
        <v>1</v>
      </c>
      <c r="Q71" s="74">
        <v>1</v>
      </c>
      <c r="R71" s="74">
        <v>1</v>
      </c>
      <c r="S71" s="74">
        <v>1</v>
      </c>
      <c r="T71" s="74">
        <v>1</v>
      </c>
      <c r="U71" s="74">
        <v>1</v>
      </c>
      <c r="V71" s="74">
        <v>1</v>
      </c>
      <c r="W71" s="74">
        <v>1</v>
      </c>
      <c r="X71" s="74">
        <v>1</v>
      </c>
      <c r="Y71" s="74">
        <v>1</v>
      </c>
      <c r="Z71" s="74">
        <v>1</v>
      </c>
      <c r="AA71" s="74">
        <v>1</v>
      </c>
      <c r="AB71" s="74">
        <v>1</v>
      </c>
      <c r="AC71" s="74">
        <v>1</v>
      </c>
      <c r="AD71" s="74">
        <v>1</v>
      </c>
      <c r="AE71" s="78">
        <v>1</v>
      </c>
      <c r="AF71" s="74">
        <v>1</v>
      </c>
      <c r="AG71" s="74">
        <v>1</v>
      </c>
      <c r="AH71" s="74">
        <v>1</v>
      </c>
      <c r="AI71" s="74">
        <v>1</v>
      </c>
      <c r="AJ71" s="74">
        <v>1</v>
      </c>
      <c r="AK71" s="74">
        <v>1</v>
      </c>
      <c r="AL71" s="74">
        <v>1</v>
      </c>
      <c r="AM71" s="74">
        <v>1</v>
      </c>
      <c r="AN71" s="74">
        <v>1</v>
      </c>
      <c r="AO71" s="74">
        <v>1</v>
      </c>
      <c r="AP71" s="74">
        <v>1</v>
      </c>
      <c r="AQ71" s="74">
        <v>1</v>
      </c>
      <c r="AR71" s="74">
        <v>1</v>
      </c>
      <c r="AS71" s="74">
        <v>1</v>
      </c>
      <c r="AT71" s="74">
        <v>1</v>
      </c>
      <c r="AU71" s="74">
        <v>1</v>
      </c>
      <c r="AV71" s="74">
        <v>1</v>
      </c>
      <c r="AW71" s="74">
        <v>1</v>
      </c>
      <c r="AX71" s="74">
        <v>1</v>
      </c>
      <c r="AY71" s="74">
        <v>1</v>
      </c>
      <c r="AZ71" s="7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">
      <c r="B72" s="80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78">
        <v>1</v>
      </c>
      <c r="H72" s="74">
        <v>1</v>
      </c>
      <c r="I72" s="74">
        <v>1</v>
      </c>
      <c r="J72" s="74">
        <v>1</v>
      </c>
      <c r="K72" s="74">
        <v>1</v>
      </c>
      <c r="L72" s="74">
        <v>1</v>
      </c>
      <c r="M72" s="74">
        <v>1</v>
      </c>
      <c r="N72" s="74">
        <v>1</v>
      </c>
      <c r="O72" s="74">
        <v>1</v>
      </c>
      <c r="P72" s="74">
        <v>1</v>
      </c>
      <c r="Q72" s="74">
        <v>1</v>
      </c>
      <c r="R72" s="74">
        <v>1</v>
      </c>
      <c r="S72" s="74">
        <v>1</v>
      </c>
      <c r="T72" s="74">
        <v>1</v>
      </c>
      <c r="U72" s="74">
        <v>1</v>
      </c>
      <c r="V72" s="74">
        <v>1</v>
      </c>
      <c r="W72" s="74">
        <v>1</v>
      </c>
      <c r="X72" s="74">
        <v>1</v>
      </c>
      <c r="Y72" s="74">
        <v>1</v>
      </c>
      <c r="Z72" s="74">
        <v>1</v>
      </c>
      <c r="AA72" s="74">
        <v>1</v>
      </c>
      <c r="AB72" s="74">
        <v>1</v>
      </c>
      <c r="AC72" s="74">
        <v>1</v>
      </c>
      <c r="AD72" s="74">
        <v>1</v>
      </c>
      <c r="AE72" s="78">
        <v>1</v>
      </c>
      <c r="AF72" s="74">
        <v>1</v>
      </c>
      <c r="AG72" s="74">
        <v>1</v>
      </c>
      <c r="AH72" s="74">
        <v>1</v>
      </c>
      <c r="AI72" s="74">
        <v>1</v>
      </c>
      <c r="AJ72" s="74">
        <v>1</v>
      </c>
      <c r="AK72" s="74">
        <v>1</v>
      </c>
      <c r="AL72" s="74">
        <v>1</v>
      </c>
      <c r="AM72" s="74">
        <v>1</v>
      </c>
      <c r="AN72" s="74">
        <v>1</v>
      </c>
      <c r="AO72" s="74">
        <v>1</v>
      </c>
      <c r="AP72" s="74">
        <v>1</v>
      </c>
      <c r="AQ72" s="74">
        <v>1</v>
      </c>
      <c r="AR72" s="74">
        <v>1</v>
      </c>
      <c r="AS72" s="74">
        <v>1</v>
      </c>
      <c r="AT72" s="74">
        <v>1</v>
      </c>
      <c r="AU72" s="74">
        <v>1</v>
      </c>
      <c r="AV72" s="74">
        <v>1</v>
      </c>
      <c r="AW72" s="74">
        <v>1</v>
      </c>
      <c r="AX72" s="74">
        <v>1</v>
      </c>
      <c r="AY72" s="74">
        <v>1</v>
      </c>
      <c r="AZ72" s="7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">
      <c r="B73" s="80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78">
        <v>1</v>
      </c>
      <c r="H73" s="74">
        <v>1</v>
      </c>
      <c r="I73" s="74">
        <v>1</v>
      </c>
      <c r="J73" s="74">
        <v>1</v>
      </c>
      <c r="K73" s="74">
        <v>1</v>
      </c>
      <c r="L73" s="74">
        <v>1</v>
      </c>
      <c r="M73" s="74">
        <v>1</v>
      </c>
      <c r="N73" s="74">
        <v>1</v>
      </c>
      <c r="O73" s="74">
        <v>1</v>
      </c>
      <c r="P73" s="74">
        <v>1</v>
      </c>
      <c r="Q73" s="74">
        <v>1</v>
      </c>
      <c r="R73" s="74">
        <v>1</v>
      </c>
      <c r="S73" s="74">
        <v>1</v>
      </c>
      <c r="T73" s="74">
        <v>1</v>
      </c>
      <c r="U73" s="74">
        <v>1</v>
      </c>
      <c r="V73" s="74">
        <v>1</v>
      </c>
      <c r="W73" s="74">
        <v>1</v>
      </c>
      <c r="X73" s="74">
        <v>1</v>
      </c>
      <c r="Y73" s="74">
        <v>1</v>
      </c>
      <c r="Z73" s="74">
        <v>1</v>
      </c>
      <c r="AA73" s="74">
        <v>1</v>
      </c>
      <c r="AB73" s="74">
        <v>1</v>
      </c>
      <c r="AC73" s="74">
        <v>1</v>
      </c>
      <c r="AD73" s="74">
        <v>1</v>
      </c>
      <c r="AE73" s="78">
        <v>1</v>
      </c>
      <c r="AF73" s="74">
        <v>1</v>
      </c>
      <c r="AG73" s="74">
        <v>1</v>
      </c>
      <c r="AH73" s="74">
        <v>1</v>
      </c>
      <c r="AI73" s="74">
        <v>1</v>
      </c>
      <c r="AJ73" s="74">
        <v>1</v>
      </c>
      <c r="AK73" s="74">
        <v>1</v>
      </c>
      <c r="AL73" s="74">
        <v>1</v>
      </c>
      <c r="AM73" s="74">
        <v>1</v>
      </c>
      <c r="AN73" s="74">
        <v>1</v>
      </c>
      <c r="AO73" s="74">
        <v>1</v>
      </c>
      <c r="AP73" s="74">
        <v>1</v>
      </c>
      <c r="AQ73" s="74">
        <v>1</v>
      </c>
      <c r="AR73" s="74">
        <v>1</v>
      </c>
      <c r="AS73" s="74">
        <v>1</v>
      </c>
      <c r="AT73" s="74">
        <v>1</v>
      </c>
      <c r="AU73" s="74">
        <v>1</v>
      </c>
      <c r="AV73" s="74">
        <v>1</v>
      </c>
      <c r="AW73" s="74">
        <v>1</v>
      </c>
      <c r="AX73" s="74">
        <v>1</v>
      </c>
      <c r="AY73" s="74">
        <v>1</v>
      </c>
      <c r="AZ73" s="74">
        <v>1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">
      <c r="B74" s="80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78">
        <v>1</v>
      </c>
      <c r="H74" s="74">
        <v>1</v>
      </c>
      <c r="I74" s="74">
        <v>1</v>
      </c>
      <c r="J74" s="74">
        <v>1</v>
      </c>
      <c r="K74" s="74">
        <v>1</v>
      </c>
      <c r="L74" s="74">
        <v>1</v>
      </c>
      <c r="M74" s="74">
        <v>1</v>
      </c>
      <c r="N74" s="74">
        <v>1</v>
      </c>
      <c r="O74" s="74">
        <v>1</v>
      </c>
      <c r="P74" s="74">
        <v>1</v>
      </c>
      <c r="Q74" s="74">
        <v>1</v>
      </c>
      <c r="R74" s="74">
        <v>1</v>
      </c>
      <c r="S74" s="74">
        <v>1</v>
      </c>
      <c r="T74" s="74">
        <v>1</v>
      </c>
      <c r="U74" s="74">
        <v>1</v>
      </c>
      <c r="V74" s="74">
        <v>1</v>
      </c>
      <c r="W74" s="74">
        <v>1</v>
      </c>
      <c r="X74" s="74">
        <v>1</v>
      </c>
      <c r="Y74" s="74">
        <v>1</v>
      </c>
      <c r="Z74" s="74">
        <v>1</v>
      </c>
      <c r="AA74" s="74">
        <v>1</v>
      </c>
      <c r="AB74" s="74">
        <v>1</v>
      </c>
      <c r="AC74" s="74">
        <v>1</v>
      </c>
      <c r="AD74" s="74">
        <v>1</v>
      </c>
      <c r="AE74" s="78">
        <v>1</v>
      </c>
      <c r="AF74" s="74">
        <v>1</v>
      </c>
      <c r="AG74" s="74">
        <v>1</v>
      </c>
      <c r="AH74" s="74">
        <v>1</v>
      </c>
      <c r="AI74" s="74">
        <v>1</v>
      </c>
      <c r="AJ74" s="74">
        <v>1</v>
      </c>
      <c r="AK74" s="74">
        <v>1</v>
      </c>
      <c r="AL74" s="74">
        <v>1</v>
      </c>
      <c r="AM74" s="74">
        <v>1</v>
      </c>
      <c r="AN74" s="74">
        <v>1</v>
      </c>
      <c r="AO74" s="74">
        <v>1</v>
      </c>
      <c r="AP74" s="74">
        <v>1</v>
      </c>
      <c r="AQ74" s="74">
        <v>1</v>
      </c>
      <c r="AR74" s="74">
        <v>1</v>
      </c>
      <c r="AS74" s="74">
        <v>1</v>
      </c>
      <c r="AT74" s="74">
        <v>1</v>
      </c>
      <c r="AU74" s="74">
        <v>1</v>
      </c>
      <c r="AV74" s="74">
        <v>1</v>
      </c>
      <c r="AW74" s="74">
        <v>1</v>
      </c>
      <c r="AX74" s="74">
        <v>1</v>
      </c>
      <c r="AY74" s="74">
        <v>1</v>
      </c>
      <c r="AZ74" s="74">
        <v>1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">
      <c r="B75" s="80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78">
        <v>0</v>
      </c>
      <c r="H75" s="74">
        <v>0</v>
      </c>
      <c r="I75" s="74">
        <v>0</v>
      </c>
      <c r="J75" s="74">
        <v>0</v>
      </c>
      <c r="K75" s="74">
        <v>0</v>
      </c>
      <c r="L75" s="74">
        <v>0</v>
      </c>
      <c r="M75" s="74">
        <v>0</v>
      </c>
      <c r="N75" s="74">
        <v>0</v>
      </c>
      <c r="O75" s="74">
        <v>0</v>
      </c>
      <c r="P75" s="74">
        <v>0</v>
      </c>
      <c r="Q75" s="74">
        <v>0</v>
      </c>
      <c r="R75" s="74">
        <v>0</v>
      </c>
      <c r="S75" s="74">
        <v>0</v>
      </c>
      <c r="T75" s="74">
        <v>0</v>
      </c>
      <c r="U75" s="74">
        <v>0</v>
      </c>
      <c r="V75" s="74">
        <v>0</v>
      </c>
      <c r="W75" s="74">
        <v>0</v>
      </c>
      <c r="X75" s="74">
        <v>0</v>
      </c>
      <c r="Y75" s="74">
        <v>0</v>
      </c>
      <c r="Z75" s="74">
        <v>0</v>
      </c>
      <c r="AA75" s="74">
        <v>0</v>
      </c>
      <c r="AB75" s="74">
        <v>0</v>
      </c>
      <c r="AC75" s="74">
        <v>0</v>
      </c>
      <c r="AD75" s="74">
        <v>0</v>
      </c>
      <c r="AE75" s="78">
        <v>0</v>
      </c>
      <c r="AF75" s="74">
        <v>0</v>
      </c>
      <c r="AG75" s="74">
        <v>0</v>
      </c>
      <c r="AH75" s="74">
        <v>0</v>
      </c>
      <c r="AI75" s="74">
        <v>0</v>
      </c>
      <c r="AJ75" s="74">
        <v>0</v>
      </c>
      <c r="AK75" s="74">
        <v>0</v>
      </c>
      <c r="AL75" s="74">
        <v>0</v>
      </c>
      <c r="AM75" s="74">
        <v>0</v>
      </c>
      <c r="AN75" s="74">
        <v>0</v>
      </c>
      <c r="AO75" s="74">
        <v>0</v>
      </c>
      <c r="AP75" s="74">
        <v>0</v>
      </c>
      <c r="AQ75" s="74">
        <v>0</v>
      </c>
      <c r="AR75" s="74">
        <v>0</v>
      </c>
      <c r="AS75" s="74">
        <v>0</v>
      </c>
      <c r="AT75" s="74">
        <v>0</v>
      </c>
      <c r="AU75" s="74">
        <v>0</v>
      </c>
      <c r="AV75" s="74">
        <v>0</v>
      </c>
      <c r="AW75" s="74">
        <v>0</v>
      </c>
      <c r="AX75" s="74">
        <v>0</v>
      </c>
      <c r="AY75" s="74">
        <v>0</v>
      </c>
      <c r="AZ75" s="74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">
      <c r="B76" s="27"/>
      <c r="C76" s="27"/>
      <c r="D76" s="34"/>
      <c r="E76" s="27"/>
      <c r="F76" s="27" t="s">
        <v>197</v>
      </c>
      <c r="G76" s="102">
        <f>COUNTIF(G19:G75,"=1")</f>
        <v>41</v>
      </c>
      <c r="H76" s="102">
        <f t="shared" ref="H76:BS76" si="249">COUNTIF(H19:H75,"=1")</f>
        <v>41</v>
      </c>
      <c r="I76" s="102">
        <f t="shared" si="249"/>
        <v>41</v>
      </c>
      <c r="J76" s="102">
        <f t="shared" si="249"/>
        <v>41</v>
      </c>
      <c r="K76" s="102">
        <f t="shared" si="249"/>
        <v>41</v>
      </c>
      <c r="L76" s="102">
        <f t="shared" si="249"/>
        <v>41</v>
      </c>
      <c r="M76" s="102">
        <f t="shared" si="249"/>
        <v>41</v>
      </c>
      <c r="N76" s="102">
        <f t="shared" si="249"/>
        <v>41</v>
      </c>
      <c r="O76" s="102">
        <f t="shared" si="249"/>
        <v>41</v>
      </c>
      <c r="P76" s="102">
        <f t="shared" si="249"/>
        <v>41</v>
      </c>
      <c r="Q76" s="102">
        <f t="shared" si="249"/>
        <v>41</v>
      </c>
      <c r="R76" s="102">
        <f t="shared" si="249"/>
        <v>41</v>
      </c>
      <c r="S76" s="102">
        <f t="shared" si="249"/>
        <v>41</v>
      </c>
      <c r="T76" s="102">
        <f t="shared" si="249"/>
        <v>41</v>
      </c>
      <c r="U76" s="102">
        <f t="shared" si="249"/>
        <v>41</v>
      </c>
      <c r="V76" s="102">
        <f t="shared" si="249"/>
        <v>41</v>
      </c>
      <c r="W76" s="102">
        <f t="shared" si="249"/>
        <v>41</v>
      </c>
      <c r="X76" s="102">
        <f t="shared" si="249"/>
        <v>41</v>
      </c>
      <c r="Y76" s="102">
        <f t="shared" si="249"/>
        <v>41</v>
      </c>
      <c r="Z76" s="102">
        <f t="shared" si="249"/>
        <v>41</v>
      </c>
      <c r="AA76" s="102">
        <f t="shared" si="249"/>
        <v>41</v>
      </c>
      <c r="AB76" s="102">
        <f t="shared" si="249"/>
        <v>41</v>
      </c>
      <c r="AC76" s="102">
        <f t="shared" si="249"/>
        <v>41</v>
      </c>
      <c r="AD76" s="102">
        <f t="shared" si="249"/>
        <v>41</v>
      </c>
      <c r="AE76" s="102">
        <f t="shared" si="249"/>
        <v>41</v>
      </c>
      <c r="AF76" s="102">
        <f t="shared" si="249"/>
        <v>41</v>
      </c>
      <c r="AG76" s="102">
        <f t="shared" si="249"/>
        <v>41</v>
      </c>
      <c r="AH76" s="102">
        <f t="shared" si="249"/>
        <v>41</v>
      </c>
      <c r="AI76" s="102">
        <f t="shared" si="249"/>
        <v>41</v>
      </c>
      <c r="AJ76" s="102">
        <f t="shared" si="249"/>
        <v>41</v>
      </c>
      <c r="AK76" s="102">
        <f t="shared" si="249"/>
        <v>41</v>
      </c>
      <c r="AL76" s="102">
        <f t="shared" si="249"/>
        <v>41</v>
      </c>
      <c r="AM76" s="102">
        <f t="shared" si="249"/>
        <v>41</v>
      </c>
      <c r="AN76" s="102">
        <f t="shared" si="249"/>
        <v>41</v>
      </c>
      <c r="AO76" s="102">
        <f t="shared" si="249"/>
        <v>41</v>
      </c>
      <c r="AP76" s="102">
        <f t="shared" si="249"/>
        <v>41</v>
      </c>
      <c r="AQ76" s="102">
        <f t="shared" si="249"/>
        <v>41</v>
      </c>
      <c r="AR76" s="102">
        <f t="shared" si="249"/>
        <v>41</v>
      </c>
      <c r="AS76" s="102">
        <f t="shared" si="249"/>
        <v>41</v>
      </c>
      <c r="AT76" s="102">
        <f t="shared" si="249"/>
        <v>41</v>
      </c>
      <c r="AU76" s="102">
        <f t="shared" si="249"/>
        <v>41</v>
      </c>
      <c r="AV76" s="102">
        <f t="shared" si="249"/>
        <v>41</v>
      </c>
      <c r="AW76" s="102">
        <f t="shared" si="249"/>
        <v>41</v>
      </c>
      <c r="AX76" s="102">
        <f t="shared" si="249"/>
        <v>41</v>
      </c>
      <c r="AY76" s="102">
        <f t="shared" si="249"/>
        <v>41</v>
      </c>
      <c r="AZ76" s="102">
        <f t="shared" si="249"/>
        <v>41</v>
      </c>
      <c r="BA76" s="102">
        <f t="shared" si="249"/>
        <v>49</v>
      </c>
      <c r="BB76" s="102">
        <f t="shared" si="249"/>
        <v>49</v>
      </c>
      <c r="BC76" s="102">
        <f t="shared" si="249"/>
        <v>49</v>
      </c>
      <c r="BD76" s="102">
        <f t="shared" si="249"/>
        <v>49</v>
      </c>
      <c r="BE76" s="102">
        <f t="shared" si="249"/>
        <v>49</v>
      </c>
      <c r="BF76" s="102">
        <f t="shared" si="249"/>
        <v>49</v>
      </c>
      <c r="BG76" s="102">
        <f t="shared" si="249"/>
        <v>49</v>
      </c>
      <c r="BH76" s="102">
        <f t="shared" si="249"/>
        <v>49</v>
      </c>
      <c r="BI76" s="102">
        <f t="shared" si="249"/>
        <v>49</v>
      </c>
      <c r="BJ76" s="102">
        <f t="shared" si="249"/>
        <v>49</v>
      </c>
      <c r="BK76" s="102">
        <f t="shared" si="249"/>
        <v>49</v>
      </c>
      <c r="BL76" s="102">
        <f t="shared" si="249"/>
        <v>51</v>
      </c>
      <c r="BM76" s="102">
        <f t="shared" si="249"/>
        <v>51</v>
      </c>
      <c r="BN76" s="102">
        <f t="shared" si="249"/>
        <v>51</v>
      </c>
      <c r="BO76" s="102">
        <f t="shared" si="249"/>
        <v>51</v>
      </c>
      <c r="BP76" s="102">
        <f t="shared" si="249"/>
        <v>51</v>
      </c>
      <c r="BQ76" s="102">
        <f t="shared" si="249"/>
        <v>51</v>
      </c>
      <c r="BR76" s="102">
        <f t="shared" si="249"/>
        <v>51</v>
      </c>
      <c r="BS76" s="102">
        <f t="shared" si="249"/>
        <v>51</v>
      </c>
      <c r="BT76" s="102">
        <f t="shared" ref="BT76:EE76" si="250">COUNTIF(BT19:BT75,"=1")</f>
        <v>51</v>
      </c>
      <c r="BU76" s="102">
        <f t="shared" si="250"/>
        <v>51</v>
      </c>
      <c r="BV76" s="102">
        <f t="shared" si="250"/>
        <v>51</v>
      </c>
      <c r="BW76" s="102">
        <f t="shared" si="250"/>
        <v>51</v>
      </c>
      <c r="BX76" s="102">
        <f t="shared" si="250"/>
        <v>51</v>
      </c>
      <c r="BY76" s="102">
        <f t="shared" si="250"/>
        <v>49</v>
      </c>
      <c r="BZ76" s="102">
        <f t="shared" si="250"/>
        <v>49</v>
      </c>
      <c r="CA76" s="102">
        <f t="shared" si="250"/>
        <v>49</v>
      </c>
      <c r="CB76" s="102">
        <f t="shared" si="250"/>
        <v>49</v>
      </c>
      <c r="CC76" s="102">
        <f t="shared" si="250"/>
        <v>49</v>
      </c>
      <c r="CD76" s="102">
        <f t="shared" si="250"/>
        <v>49</v>
      </c>
      <c r="CE76" s="102">
        <f t="shared" si="250"/>
        <v>49</v>
      </c>
      <c r="CF76" s="102">
        <f t="shared" si="250"/>
        <v>49</v>
      </c>
      <c r="CG76" s="102">
        <f t="shared" si="250"/>
        <v>49</v>
      </c>
      <c r="CH76" s="102">
        <f t="shared" si="250"/>
        <v>49</v>
      </c>
      <c r="CI76" s="102">
        <f t="shared" si="250"/>
        <v>49</v>
      </c>
      <c r="CJ76" s="102">
        <f t="shared" si="250"/>
        <v>51</v>
      </c>
      <c r="CK76" s="102">
        <f t="shared" si="250"/>
        <v>51</v>
      </c>
      <c r="CL76" s="102">
        <f t="shared" si="250"/>
        <v>51</v>
      </c>
      <c r="CM76" s="102">
        <f t="shared" si="250"/>
        <v>51</v>
      </c>
      <c r="CN76" s="102">
        <f t="shared" si="250"/>
        <v>51</v>
      </c>
      <c r="CO76" s="102">
        <f t="shared" si="250"/>
        <v>51</v>
      </c>
      <c r="CP76" s="102">
        <f t="shared" si="250"/>
        <v>51</v>
      </c>
      <c r="CQ76" s="102">
        <f t="shared" si="250"/>
        <v>51</v>
      </c>
      <c r="CR76" s="102">
        <f t="shared" si="250"/>
        <v>51</v>
      </c>
      <c r="CS76" s="102">
        <f t="shared" si="250"/>
        <v>51</v>
      </c>
      <c r="CT76" s="102">
        <f t="shared" si="250"/>
        <v>51</v>
      </c>
      <c r="CU76" s="102">
        <f t="shared" si="250"/>
        <v>51</v>
      </c>
      <c r="CV76" s="102">
        <f t="shared" si="250"/>
        <v>51</v>
      </c>
      <c r="CW76" s="102">
        <f t="shared" si="250"/>
        <v>49</v>
      </c>
      <c r="CX76" s="102">
        <f t="shared" si="250"/>
        <v>49</v>
      </c>
      <c r="CY76" s="102">
        <f t="shared" si="250"/>
        <v>49</v>
      </c>
      <c r="CZ76" s="102">
        <f t="shared" si="250"/>
        <v>49</v>
      </c>
      <c r="DA76" s="102">
        <f t="shared" si="250"/>
        <v>49</v>
      </c>
      <c r="DB76" s="102">
        <f t="shared" si="250"/>
        <v>49</v>
      </c>
      <c r="DC76" s="102">
        <f t="shared" si="250"/>
        <v>49</v>
      </c>
      <c r="DD76" s="102">
        <f t="shared" si="250"/>
        <v>49</v>
      </c>
      <c r="DE76" s="102">
        <f t="shared" si="250"/>
        <v>49</v>
      </c>
      <c r="DF76" s="102">
        <f t="shared" si="250"/>
        <v>49</v>
      </c>
      <c r="DG76" s="102">
        <f t="shared" si="250"/>
        <v>49</v>
      </c>
      <c r="DH76" s="102">
        <f t="shared" si="250"/>
        <v>51</v>
      </c>
      <c r="DI76" s="102">
        <f t="shared" si="250"/>
        <v>51</v>
      </c>
      <c r="DJ76" s="102">
        <f t="shared" si="250"/>
        <v>51</v>
      </c>
      <c r="DK76" s="102">
        <f t="shared" si="250"/>
        <v>51</v>
      </c>
      <c r="DL76" s="102">
        <f t="shared" si="250"/>
        <v>51</v>
      </c>
      <c r="DM76" s="102">
        <f t="shared" si="250"/>
        <v>51</v>
      </c>
      <c r="DN76" s="102">
        <f t="shared" si="250"/>
        <v>51</v>
      </c>
      <c r="DO76" s="102">
        <f t="shared" si="250"/>
        <v>51</v>
      </c>
      <c r="DP76" s="102">
        <f t="shared" si="250"/>
        <v>51</v>
      </c>
      <c r="DQ76" s="102">
        <f t="shared" si="250"/>
        <v>51</v>
      </c>
      <c r="DR76" s="102">
        <f t="shared" si="250"/>
        <v>51</v>
      </c>
      <c r="DS76" s="102">
        <f t="shared" si="250"/>
        <v>51</v>
      </c>
      <c r="DT76" s="102">
        <f t="shared" si="250"/>
        <v>51</v>
      </c>
      <c r="DU76" s="102">
        <f t="shared" si="250"/>
        <v>49</v>
      </c>
      <c r="DV76" s="102">
        <f t="shared" si="250"/>
        <v>49</v>
      </c>
      <c r="DW76" s="102">
        <f t="shared" si="250"/>
        <v>49</v>
      </c>
      <c r="DX76" s="102">
        <f t="shared" si="250"/>
        <v>49</v>
      </c>
      <c r="DY76" s="102">
        <f t="shared" si="250"/>
        <v>49</v>
      </c>
      <c r="DZ76" s="102">
        <f t="shared" si="250"/>
        <v>49</v>
      </c>
      <c r="EA76" s="102">
        <f t="shared" si="250"/>
        <v>49</v>
      </c>
      <c r="EB76" s="102">
        <f t="shared" si="250"/>
        <v>49</v>
      </c>
      <c r="EC76" s="102">
        <f t="shared" si="250"/>
        <v>49</v>
      </c>
      <c r="ED76" s="102">
        <f t="shared" si="250"/>
        <v>49</v>
      </c>
      <c r="EE76" s="102">
        <f t="shared" si="250"/>
        <v>49</v>
      </c>
      <c r="EF76" s="102">
        <f t="shared" ref="EF76:GQ76" si="251">COUNTIF(EF19:EF75,"=1")</f>
        <v>51</v>
      </c>
      <c r="EG76" s="102">
        <f t="shared" si="251"/>
        <v>51</v>
      </c>
      <c r="EH76" s="102">
        <f t="shared" si="251"/>
        <v>51</v>
      </c>
      <c r="EI76" s="102">
        <f t="shared" si="251"/>
        <v>51</v>
      </c>
      <c r="EJ76" s="102">
        <f t="shared" si="251"/>
        <v>51</v>
      </c>
      <c r="EK76" s="102">
        <f t="shared" si="251"/>
        <v>51</v>
      </c>
      <c r="EL76" s="102">
        <f t="shared" si="251"/>
        <v>51</v>
      </c>
      <c r="EM76" s="102">
        <f t="shared" si="251"/>
        <v>51</v>
      </c>
      <c r="EN76" s="102">
        <f t="shared" si="251"/>
        <v>51</v>
      </c>
      <c r="EO76" s="102">
        <f t="shared" si="251"/>
        <v>51</v>
      </c>
      <c r="EP76" s="102">
        <f t="shared" si="251"/>
        <v>51</v>
      </c>
      <c r="EQ76" s="102">
        <f t="shared" si="251"/>
        <v>51</v>
      </c>
      <c r="ER76" s="102">
        <f t="shared" si="251"/>
        <v>51</v>
      </c>
      <c r="ES76" s="102">
        <f t="shared" si="251"/>
        <v>49</v>
      </c>
      <c r="ET76" s="102">
        <f t="shared" si="251"/>
        <v>49</v>
      </c>
      <c r="EU76" s="102">
        <f t="shared" si="251"/>
        <v>49</v>
      </c>
      <c r="EV76" s="102">
        <f t="shared" si="251"/>
        <v>49</v>
      </c>
      <c r="EW76" s="102">
        <f t="shared" si="251"/>
        <v>49</v>
      </c>
      <c r="EX76" s="102">
        <f t="shared" si="251"/>
        <v>49</v>
      </c>
      <c r="EY76" s="102">
        <f t="shared" si="251"/>
        <v>49</v>
      </c>
      <c r="EZ76" s="102">
        <f t="shared" si="251"/>
        <v>49</v>
      </c>
      <c r="FA76" s="102">
        <f t="shared" si="251"/>
        <v>49</v>
      </c>
      <c r="FB76" s="102">
        <f t="shared" si="251"/>
        <v>49</v>
      </c>
      <c r="FC76" s="102">
        <f t="shared" si="251"/>
        <v>49</v>
      </c>
      <c r="FD76" s="102">
        <f t="shared" si="251"/>
        <v>51</v>
      </c>
      <c r="FE76" s="102">
        <f t="shared" si="251"/>
        <v>51</v>
      </c>
      <c r="FF76" s="102">
        <f t="shared" si="251"/>
        <v>51</v>
      </c>
      <c r="FG76" s="102">
        <f t="shared" si="251"/>
        <v>51</v>
      </c>
      <c r="FH76" s="102">
        <f t="shared" si="251"/>
        <v>51</v>
      </c>
      <c r="FI76" s="102">
        <f t="shared" si="251"/>
        <v>51</v>
      </c>
      <c r="FJ76" s="102">
        <f t="shared" si="251"/>
        <v>51</v>
      </c>
      <c r="FK76" s="102">
        <f t="shared" si="251"/>
        <v>51</v>
      </c>
      <c r="FL76" s="102">
        <f t="shared" si="251"/>
        <v>51</v>
      </c>
      <c r="FM76" s="102">
        <f t="shared" si="251"/>
        <v>51</v>
      </c>
      <c r="FN76" s="102">
        <f t="shared" si="251"/>
        <v>51</v>
      </c>
      <c r="FO76" s="102">
        <f t="shared" si="251"/>
        <v>51</v>
      </c>
      <c r="FP76" s="102">
        <f t="shared" si="251"/>
        <v>51</v>
      </c>
      <c r="FQ76" s="102">
        <f t="shared" si="251"/>
        <v>49</v>
      </c>
      <c r="FR76" s="102">
        <f t="shared" si="251"/>
        <v>49</v>
      </c>
      <c r="FS76" s="102">
        <f t="shared" si="251"/>
        <v>49</v>
      </c>
      <c r="FT76" s="102">
        <f t="shared" si="251"/>
        <v>49</v>
      </c>
      <c r="FU76" s="102">
        <f t="shared" si="251"/>
        <v>49</v>
      </c>
      <c r="FV76" s="102">
        <f t="shared" si="251"/>
        <v>49</v>
      </c>
      <c r="FW76" s="102">
        <f t="shared" si="251"/>
        <v>49</v>
      </c>
      <c r="FX76" s="102">
        <f t="shared" si="251"/>
        <v>49</v>
      </c>
      <c r="FY76" s="102">
        <f t="shared" si="251"/>
        <v>49</v>
      </c>
      <c r="FZ76" s="102">
        <f t="shared" si="251"/>
        <v>49</v>
      </c>
      <c r="GA76" s="102">
        <f t="shared" si="251"/>
        <v>49</v>
      </c>
      <c r="GB76" s="102">
        <f t="shared" si="251"/>
        <v>51</v>
      </c>
      <c r="GC76" s="102">
        <f t="shared" si="251"/>
        <v>51</v>
      </c>
      <c r="GD76" s="102">
        <f t="shared" si="251"/>
        <v>51</v>
      </c>
      <c r="GE76" s="102">
        <f t="shared" si="251"/>
        <v>51</v>
      </c>
      <c r="GF76" s="102">
        <f t="shared" si="251"/>
        <v>51</v>
      </c>
      <c r="GG76" s="102">
        <f t="shared" si="251"/>
        <v>51</v>
      </c>
      <c r="GH76" s="102">
        <f t="shared" si="251"/>
        <v>51</v>
      </c>
      <c r="GI76" s="102">
        <f t="shared" si="251"/>
        <v>51</v>
      </c>
      <c r="GJ76" s="102">
        <f t="shared" si="251"/>
        <v>51</v>
      </c>
      <c r="GK76" s="102">
        <f t="shared" si="251"/>
        <v>51</v>
      </c>
      <c r="GL76" s="102">
        <f t="shared" si="251"/>
        <v>51</v>
      </c>
      <c r="GM76" s="102">
        <f t="shared" si="251"/>
        <v>51</v>
      </c>
      <c r="GN76" s="102">
        <f t="shared" si="251"/>
        <v>51</v>
      </c>
      <c r="GO76" s="102">
        <f t="shared" si="251"/>
        <v>49</v>
      </c>
      <c r="GP76" s="102">
        <f t="shared" si="251"/>
        <v>49</v>
      </c>
      <c r="GQ76" s="102">
        <f t="shared" si="251"/>
        <v>49</v>
      </c>
      <c r="GR76" s="102">
        <f t="shared" ref="GR76:HX76" si="252">COUNTIF(GR19:GR75,"=1")</f>
        <v>49</v>
      </c>
      <c r="GS76" s="102">
        <f t="shared" si="252"/>
        <v>49</v>
      </c>
      <c r="GT76" s="102">
        <f t="shared" si="252"/>
        <v>49</v>
      </c>
      <c r="GU76" s="102">
        <f t="shared" si="252"/>
        <v>49</v>
      </c>
      <c r="GV76" s="102">
        <f t="shared" si="252"/>
        <v>49</v>
      </c>
      <c r="GW76" s="102">
        <f t="shared" si="252"/>
        <v>49</v>
      </c>
      <c r="GX76" s="102">
        <f t="shared" si="252"/>
        <v>49</v>
      </c>
      <c r="GY76" s="102">
        <f t="shared" si="252"/>
        <v>49</v>
      </c>
      <c r="GZ76" s="102">
        <f t="shared" si="252"/>
        <v>51</v>
      </c>
      <c r="HA76" s="102">
        <f t="shared" si="252"/>
        <v>51</v>
      </c>
      <c r="HB76" s="102">
        <f t="shared" si="252"/>
        <v>51</v>
      </c>
      <c r="HC76" s="102">
        <f t="shared" si="252"/>
        <v>51</v>
      </c>
      <c r="HD76" s="102">
        <f t="shared" si="252"/>
        <v>51</v>
      </c>
      <c r="HE76" s="102">
        <f t="shared" si="252"/>
        <v>51</v>
      </c>
      <c r="HF76" s="102">
        <f t="shared" si="252"/>
        <v>51</v>
      </c>
      <c r="HG76" s="102">
        <f t="shared" si="252"/>
        <v>51</v>
      </c>
      <c r="HH76" s="102">
        <f t="shared" si="252"/>
        <v>51</v>
      </c>
      <c r="HI76" s="102">
        <f t="shared" si="252"/>
        <v>51</v>
      </c>
      <c r="HJ76" s="102">
        <f t="shared" si="252"/>
        <v>51</v>
      </c>
      <c r="HK76" s="102">
        <f t="shared" si="252"/>
        <v>51</v>
      </c>
      <c r="HL76" s="102">
        <f t="shared" si="252"/>
        <v>51</v>
      </c>
      <c r="HM76" s="102">
        <f t="shared" si="252"/>
        <v>49</v>
      </c>
      <c r="HN76" s="102">
        <f t="shared" si="252"/>
        <v>49</v>
      </c>
      <c r="HO76" s="102">
        <f t="shared" si="252"/>
        <v>49</v>
      </c>
      <c r="HP76" s="102">
        <f t="shared" si="252"/>
        <v>49</v>
      </c>
      <c r="HQ76" s="102">
        <f t="shared" si="252"/>
        <v>49</v>
      </c>
      <c r="HR76" s="102">
        <f t="shared" si="252"/>
        <v>49</v>
      </c>
      <c r="HS76" s="102">
        <f t="shared" si="252"/>
        <v>49</v>
      </c>
      <c r="HT76" s="102">
        <f t="shared" si="252"/>
        <v>49</v>
      </c>
      <c r="HU76" s="102">
        <f t="shared" si="252"/>
        <v>49</v>
      </c>
      <c r="HV76" s="102">
        <f t="shared" si="252"/>
        <v>49</v>
      </c>
      <c r="HW76" s="102">
        <f t="shared" si="252"/>
        <v>49</v>
      </c>
      <c r="HX76" s="102">
        <f t="shared" si="252"/>
        <v>51</v>
      </c>
    </row>
  </sheetData>
  <autoFilter ref="B18:F75" xr:uid="{42902007-4054-4DE8-918C-46F10C984450}"/>
  <mergeCells count="1">
    <mergeCell ref="B17:F17"/>
  </mergeCells>
  <phoneticPr fontId="1" type="noConversion"/>
  <conditionalFormatting sqref="G19:HX76">
    <cfRule type="cellIs" dxfId="125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196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45443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45444.083333333336</v>
      </c>
      <c r="C4" s="17">
        <f>C2</f>
        <v>8.3333333333333329E-2</v>
      </c>
      <c r="D4" s="34">
        <f>TBL_CalcDarwin[[#This Row],[Darwin PLOM
MW]]+TBL_CalcDarwin[[#This Row],[Darwin PLOME
MW]]</f>
        <v>79.99799999999999</v>
      </c>
      <c r="E4" s="34">
        <f>TBL_CalcDarwin[[#This Row],[PLOM MW TOTAL BARRA A]]+TBL_CalcDarwin[[#This Row],[PLOM MW TOTAL BARRA B]]</f>
        <v>73.48599999999999</v>
      </c>
      <c r="F4" s="34">
        <f>TBL_CalcDarwin[[#This Row],[PLOME MW TOTAL BARRA A]]+TBL_CalcDarwin[[#This Row],[PLOME MW TOTAL BARRA B]]</f>
        <v>6.5119999999999996</v>
      </c>
      <c r="G4" s="48">
        <f>'Plantilla Datos'!D9</f>
        <v>5.3</v>
      </c>
      <c r="H4" s="48">
        <f>'Plantilla Datos'!E9</f>
        <v>7.7</v>
      </c>
      <c r="I4" s="49">
        <f>'Plantilla Datos'!F9</f>
        <v>16</v>
      </c>
      <c r="J4" s="47">
        <f>CEILING('Plantilla Datos'!$L$3*TBL_CalcDarwin[[#This Row],[Darwin Gusts
m/s]],0.5)</f>
        <v>6</v>
      </c>
      <c r="K4" s="47">
        <f>CEILING('Plantilla Datos'!$L$4*TBL_CalcDarwin[[#This Row],[Darwin Gusts
m/s]],0.5)</f>
        <v>7</v>
      </c>
      <c r="L4" s="47">
        <f>CEILING(TBL_CalcDarwin[[#This Row],[Darwin Gusts
m/s]],0.5)</f>
        <v>8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4" s="41">
        <f>INDEX(Curva_Temp[Temp],MATCH(TBL_CalcDarwin[[#This Row],[Darwin Temp.
°C]],Curva_Temp[Temp]))</f>
        <v>15</v>
      </c>
      <c r="R4" s="41">
        <f>INDEX(Curva_Temp[Warranted Power Curve for 
1.194Kg/m3 air density '[kW']
SG 5.0-145 (AM+1, 5.2MW) AT 
90M],MATCH(TBL_CalcDarwin[[#This Row],[Darwin Temp.
°C]],Curva_Temp[Temp]))</f>
        <v>5200</v>
      </c>
      <c r="S4" s="41" cm="1">
        <f t="array" ref="S4">INDEX(Curva_Temp[Temp],MATCH(TBL_CalcDarwin[[#This Row],[Darwin Temp.
°C]],Curva_Temp[Temp])+1)</f>
        <v>20</v>
      </c>
      <c r="T4" s="41" cm="1">
        <f t="array" ref="T4">INDEX(Curva_Temp[Warranted Power Curve for 
1.194Kg/m3 air density '[kW']
SG 5.0-145 (AM+1, 5.2MW) AT 
90M],MATCH(TBL_CalcDarwin[[#This Row],[Darwin Temp.
°C]],Curva_Temp[Temp])+1)</f>
        <v>5000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4" s="41">
        <f>INDEX(Curva_Temp[Temp],MATCH(TBL_CalcDarwin[[#This Row],[Darwin Temp.
°C]],Curva_Temp[Temp]))</f>
        <v>15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20</v>
      </c>
      <c r="AB4" s="41" cm="1">
        <f t="array" ref="AB4">INDEX(Curva_Temp[Warranted Power Curve for 
1.194Kg/m3 air density '[kW']
SG 5.0-145 (AM 0, 5.0MW) AT 
90M],MATCH(TBL_CalcDarwin[[#This Row],[Darwin Temp.
°C]],Curva_Temp[Temp])+1)</f>
        <v>5000</v>
      </c>
      <c r="AC4" s="45">
        <f>HLOOKUP(TBL_CalcDarwin[[#This Row],[Fecha]],'Plantilla AEG ES'!$E$1:$HX$13,2,FALSE)</f>
        <v>3</v>
      </c>
      <c r="AD4" s="45">
        <f>HLOOKUP(TBL_CalcDarwin[[#This Row],[Fecha]],'Plantilla AEG ES'!$E$1:$HX$13,3,FALSE)</f>
        <v>5</v>
      </c>
      <c r="AE4" s="45">
        <f>HLOOKUP(TBL_CalcDarwin[[#This Row],[Fecha]],'Plantilla AEG ES'!$E$1:$HX$13,4,FALSE)</f>
        <v>9</v>
      </c>
      <c r="AF4" s="45">
        <f>HLOOKUP(TBL_CalcDarwin[[#This Row],[Fecha]],'Plantilla AEG ES'!$E$1:$HX$13,5,FALSE)</f>
        <v>2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0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3</v>
      </c>
      <c r="AK4" s="46">
        <f>HLOOKUP(TBL_CalcDarwin[[#This Row],[Fecha]],'Plantilla AEG ES'!$E$1:$HX$13,10,FALSE)</f>
        <v>10</v>
      </c>
      <c r="AL4" s="46">
        <f>HLOOKUP(TBL_CalcDarwin[[#This Row],[Fecha]],'Plantilla AEG ES'!$E$1:$HX$13,11,FALSE)</f>
        <v>0</v>
      </c>
      <c r="AM4" s="46">
        <f>HLOOKUP(TBL_CalcDarwin[[#This Row],[Fecha]],'Plantilla AEG ES'!$E$1:$HX$13,12,FALSE)</f>
        <v>5</v>
      </c>
      <c r="AN4" s="46">
        <f>HLOOKUP(TBL_CalcDarwin[[#This Row],[Fecha]],'Plantilla AEG ES'!$E$1:$HX$13,13,FALSE)</f>
        <v>3</v>
      </c>
      <c r="AO4" s="37">
        <f>TBL_CalcDarwin[[#This Row],[Lomitas - Barra A - 5.2 - Cerro]]+TBL_CalcDarwin[[#This Row],[Lomitas - Barra A - 5.2 - Medio]]+TBL_CalcDarwin[[#This Row],[Lomitas - Barra A - 5.2 - Mar]]</f>
        <v>17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32.614999999999995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40.870999999999995</v>
      </c>
      <c r="AS4" s="37">
        <f>TBL_CalcDarwin[[#This Row],[Expansión - Barra A - 5.2 - Cerro]]+TBL_CalcDarwin[[#This Row],[Expansión - Barra A - 5.2 - Medio]]+TBL_CalcDarwin[[#This Row],[Expansión - Barra A - 5.2 - Mar]]</f>
        <v>3</v>
      </c>
      <c r="AT4" s="37">
        <f>TBL_CalcDarwin[[#This Row],[Expansión - Barra B - 5.2 - Cerro]]</f>
        <v>3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4" s="29">
        <f>TBL_CalcDarwin[[#This Row],[Expansión - Barra B - 5.2 - Cerro]]*TBL_CalcDarwin[[#This Row],[AEG 5.2 MW Cerro]]</f>
        <v>2.9489999999999998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45444.125</v>
      </c>
      <c r="C5" s="17">
        <f>C4+TIME(1,0,0)</f>
        <v>0.125</v>
      </c>
      <c r="D5" s="34">
        <f>TBL_CalcDarwin[[#This Row],[Darwin PLOM
MW]]+TBL_CalcDarwin[[#This Row],[Darwin PLOME
MW]]</f>
        <v>141.13399999999999</v>
      </c>
      <c r="E5" s="34">
        <f>TBL_CalcDarwin[[#This Row],[PLOM MW TOTAL BARRA A]]+TBL_CalcDarwin[[#This Row],[PLOM MW TOTAL BARRA B]]</f>
        <v>130.27099999999999</v>
      </c>
      <c r="F5" s="34">
        <f>TBL_CalcDarwin[[#This Row],[PLOME MW TOTAL BARRA A]]+TBL_CalcDarwin[[#This Row],[PLOME MW TOTAL BARRA B]]</f>
        <v>10.863</v>
      </c>
      <c r="G5" s="48">
        <f>'Plantilla Datos'!D10</f>
        <v>6.2</v>
      </c>
      <c r="H5" s="48">
        <f>'Plantilla Datos'!E10</f>
        <v>9.6</v>
      </c>
      <c r="I5" s="49">
        <f>'Plantilla Datos'!F10</f>
        <v>15.8</v>
      </c>
      <c r="J5" s="47">
        <f>CEILING('Plantilla Datos'!$L$3*TBL_CalcDarwin[[#This Row],[Darwin Gusts
m/s]],0.5)</f>
        <v>7</v>
      </c>
      <c r="K5" s="47">
        <f>CEILING('Plantilla Datos'!$L$4*TBL_CalcDarwin[[#This Row],[Darwin Gusts
m/s]],0.5)</f>
        <v>8.5</v>
      </c>
      <c r="L5" s="47">
        <f>CEILING(TBL_CalcDarwin[[#This Row],[Darwin Gusts
m/s]],0.5)</f>
        <v>10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5" s="41">
        <f>INDEX(Curva_Temp[Temp],MATCH(TBL_CalcDarwin[[#This Row],[Darwin Temp.
°C]],Curva_Temp[Temp]))</f>
        <v>15</v>
      </c>
      <c r="R5" s="41">
        <f>INDEX(Curva_Temp[Warranted Power Curve for 
1.194Kg/m3 air density '[kW']
SG 5.0-145 (AM+1, 5.2MW) AT 
90M],MATCH(TBL_CalcDarwin[[#This Row],[Darwin Temp.
°C]],Curva_Temp[Temp]))</f>
        <v>5200</v>
      </c>
      <c r="S5" s="41" cm="1">
        <f t="array" ref="S5">INDEX(Curva_Temp[Temp],MATCH(TBL_CalcDarwin[[#This Row],[Darwin Temp.
°C]],Curva_Temp[Temp])+1)</f>
        <v>20</v>
      </c>
      <c r="T5" s="41" cm="1">
        <f t="array" ref="T5">INDEX(Curva_Temp[Warranted Power Curve for 
1.194Kg/m3 air density '[kW']
SG 5.0-145 (AM+1, 5.2MW) AT 
90M],MATCH(TBL_CalcDarwin[[#This Row],[Darwin Temp.
°C]],Curva_Temp[Temp])+1)</f>
        <v>5000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5" s="41">
        <f>INDEX(Curva_Temp[Temp],MATCH(TBL_CalcDarwin[[#This Row],[Darwin Temp.
°C]],Curva_Temp[Temp]))</f>
        <v>15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20</v>
      </c>
      <c r="AB5" s="41" cm="1">
        <f t="array" ref="AB5">INDEX(Curva_Temp[Warranted Power Curve for 
1.194Kg/m3 air density '[kW']
SG 5.0-145 (AM 0, 5.0MW) AT 
90M],MATCH(TBL_CalcDarwin[[#This Row],[Darwin Temp.
°C]],Curva_Temp[Temp])+1)</f>
        <v>5000</v>
      </c>
      <c r="AC5" s="45">
        <f>HLOOKUP(TBL_CalcDarwin[[#This Row],[Fecha]],'Plantilla AEG ES'!$E$1:$HX$13,2,FALSE)</f>
        <v>3</v>
      </c>
      <c r="AD5" s="45">
        <f>HLOOKUP(TBL_CalcDarwin[[#This Row],[Fecha]],'Plantilla AEG ES'!$E$1:$HX$13,3,FALSE)</f>
        <v>5</v>
      </c>
      <c r="AE5" s="45">
        <f>HLOOKUP(TBL_CalcDarwin[[#This Row],[Fecha]],'Plantilla AEG ES'!$E$1:$HX$13,4,FALSE)</f>
        <v>9</v>
      </c>
      <c r="AF5" s="45">
        <f>HLOOKUP(TBL_CalcDarwin[[#This Row],[Fecha]],'Plantilla AEG ES'!$E$1:$HX$13,5,FALSE)</f>
        <v>2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0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3</v>
      </c>
      <c r="AK5" s="46">
        <f>HLOOKUP(TBL_CalcDarwin[[#This Row],[Fecha]],'Plantilla AEG ES'!$E$1:$HX$13,10,FALSE)</f>
        <v>10</v>
      </c>
      <c r="AL5" s="46">
        <f>HLOOKUP(TBL_CalcDarwin[[#This Row],[Fecha]],'Plantilla AEG ES'!$E$1:$HX$13,11,FALSE)</f>
        <v>0</v>
      </c>
      <c r="AM5" s="46">
        <f>HLOOKUP(TBL_CalcDarwin[[#This Row],[Fecha]],'Plantilla AEG ES'!$E$1:$HX$13,12,FALSE)</f>
        <v>5</v>
      </c>
      <c r="AN5" s="46">
        <f>HLOOKUP(TBL_CalcDarwin[[#This Row],[Fecha]],'Plantilla AEG ES'!$E$1:$HX$13,13,FALSE)</f>
        <v>3</v>
      </c>
      <c r="AO5" s="37">
        <f>TBL_CalcDarwin[[#This Row],[Lomitas - Barra A - 5.2 - Cerro]]+TBL_CalcDarwin[[#This Row],[Lomitas - Barra A - 5.2 - Medio]]+TBL_CalcDarwin[[#This Row],[Lomitas - Barra A - 5.2 - Mar]]</f>
        <v>17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57.736999999999995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72.533999999999992</v>
      </c>
      <c r="AS5" s="37">
        <f>TBL_CalcDarwin[[#This Row],[Expansión - Barra A - 5.2 - Cerro]]+TBL_CalcDarwin[[#This Row],[Expansión - Barra A - 5.2 - Medio]]+TBL_CalcDarwin[[#This Row],[Expansión - Barra A - 5.2 - Mar]]</f>
        <v>3</v>
      </c>
      <c r="AT5" s="37">
        <f>TBL_CalcDarwin[[#This Row],[Expansión - Barra B - 5.2 - Cerro]]</f>
        <v>3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5" s="29">
        <f>TBL_CalcDarwin[[#This Row],[Expansión - Barra B - 5.2 - Cerro]]*TBL_CalcDarwin[[#This Row],[AEG 5.2 MW Cerro]]</f>
        <v>4.7910000000000004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45444.166666666664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171.92900000000003</v>
      </c>
      <c r="E6" s="34">
        <f>TBL_CalcDarwin[[#This Row],[PLOM MW TOTAL BARRA A]]+TBL_CalcDarwin[[#This Row],[PLOM MW TOTAL BARRA B]]</f>
        <v>156.04200000000003</v>
      </c>
      <c r="F6" s="34">
        <f>TBL_CalcDarwin[[#This Row],[PLOME MW TOTAL BARRA A]]+TBL_CalcDarwin[[#This Row],[PLOME MW TOTAL BARRA B]]</f>
        <v>15.887</v>
      </c>
      <c r="G6" s="48">
        <f>'Plantilla Datos'!D11</f>
        <v>7.3</v>
      </c>
      <c r="H6" s="48">
        <f>'Plantilla Datos'!E11</f>
        <v>10.6</v>
      </c>
      <c r="I6" s="49">
        <f>'Plantilla Datos'!F11</f>
        <v>15.8</v>
      </c>
      <c r="J6" s="47">
        <f>CEILING('Plantilla Datos'!$L$3*TBL_CalcDarwin[[#This Row],[Darwin Gusts
m/s]],0.5)</f>
        <v>8</v>
      </c>
      <c r="K6" s="47">
        <f>CEILING('Plantilla Datos'!$L$4*TBL_CalcDarwin[[#This Row],[Darwin Gusts
m/s]],0.5)</f>
        <v>9.5</v>
      </c>
      <c r="L6" s="47">
        <f>CEILING(TBL_CalcDarwin[[#This Row],[Darwin Gusts
m/s]],0.5)</f>
        <v>11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6" s="41">
        <f>INDEX(Curva_Temp[Temp],MATCH(TBL_CalcDarwin[[#This Row],[Darwin Temp.
°C]],Curva_Temp[Temp]))</f>
        <v>15</v>
      </c>
      <c r="R6" s="41">
        <f>INDEX(Curva_Temp[Warranted Power Curve for 
1.194Kg/m3 air density '[kW']
SG 5.0-145 (AM+1, 5.2MW) AT 
90M],MATCH(TBL_CalcDarwin[[#This Row],[Darwin Temp.
°C]],Curva_Temp[Temp]))</f>
        <v>5200</v>
      </c>
      <c r="S6" s="41" cm="1">
        <f t="array" ref="S6">INDEX(Curva_Temp[Temp],MATCH(TBL_CalcDarwin[[#This Row],[Darwin Temp.
°C]],Curva_Temp[Temp])+1)</f>
        <v>20</v>
      </c>
      <c r="T6" s="41" cm="1">
        <f t="array" ref="T6">INDEX(Curva_Temp[Warranted Power Curve for 
1.194Kg/m3 air density '[kW']
SG 5.0-145 (AM+1, 5.2MW) AT 
90M],MATCH(TBL_CalcDarwin[[#This Row],[Darwin Temp.
°C]],Curva_Temp[Temp])+1)</f>
        <v>5000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6" s="41">
        <f>INDEX(Curva_Temp[Temp],MATCH(TBL_CalcDarwin[[#This Row],[Darwin Temp.
°C]],Curva_Temp[Temp]))</f>
        <v>15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20</v>
      </c>
      <c r="AB6" s="41" cm="1">
        <f t="array" ref="AB6">INDEX(Curva_Temp[Warranted Power Curve for 
1.194Kg/m3 air density '[kW']
SG 5.0-145 (AM 0, 5.0MW) AT 
90M],MATCH(TBL_CalcDarwin[[#This Row],[Darwin Temp.
°C]],Curva_Temp[Temp])+1)</f>
        <v>5000</v>
      </c>
      <c r="AC6" s="45">
        <f>HLOOKUP(TBL_CalcDarwin[[#This Row],[Fecha]],'Plantilla AEG ES'!$E$1:$HX$13,2,FALSE)</f>
        <v>3</v>
      </c>
      <c r="AD6" s="45">
        <f>HLOOKUP(TBL_CalcDarwin[[#This Row],[Fecha]],'Plantilla AEG ES'!$E$1:$HX$13,3,FALSE)</f>
        <v>5</v>
      </c>
      <c r="AE6" s="45">
        <f>HLOOKUP(TBL_CalcDarwin[[#This Row],[Fecha]],'Plantilla AEG ES'!$E$1:$HX$13,4,FALSE)</f>
        <v>9</v>
      </c>
      <c r="AF6" s="45">
        <f>HLOOKUP(TBL_CalcDarwin[[#This Row],[Fecha]],'Plantilla AEG ES'!$E$1:$HX$13,5,FALSE)</f>
        <v>2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0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3</v>
      </c>
      <c r="AK6" s="46">
        <f>HLOOKUP(TBL_CalcDarwin[[#This Row],[Fecha]],'Plantilla AEG ES'!$E$1:$HX$13,10,FALSE)</f>
        <v>10</v>
      </c>
      <c r="AL6" s="46">
        <f>HLOOKUP(TBL_CalcDarwin[[#This Row],[Fecha]],'Plantilla AEG ES'!$E$1:$HX$13,11,FALSE)</f>
        <v>0</v>
      </c>
      <c r="AM6" s="46">
        <f>HLOOKUP(TBL_CalcDarwin[[#This Row],[Fecha]],'Plantilla AEG ES'!$E$1:$HX$13,12,FALSE)</f>
        <v>5</v>
      </c>
      <c r="AN6" s="46">
        <f>HLOOKUP(TBL_CalcDarwin[[#This Row],[Fecha]],'Plantilla AEG ES'!$E$1:$HX$13,13,FALSE)</f>
        <v>3</v>
      </c>
      <c r="AO6" s="37">
        <f>TBL_CalcDarwin[[#This Row],[Lomitas - Barra A - 5.2 - Cerro]]+TBL_CalcDarwin[[#This Row],[Lomitas - Barra A - 5.2 - Medio]]+TBL_CalcDarwin[[#This Row],[Lomitas - Barra A - 5.2 - Mar]]</f>
        <v>17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71.041000000000011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85.001000000000005</v>
      </c>
      <c r="AS6" s="37">
        <f>TBL_CalcDarwin[[#This Row],[Expansión - Barra A - 5.2 - Cerro]]+TBL_CalcDarwin[[#This Row],[Expansión - Barra A - 5.2 - Medio]]+TBL_CalcDarwin[[#This Row],[Expansión - Barra A - 5.2 - Mar]]</f>
        <v>3</v>
      </c>
      <c r="AT6" s="37">
        <f>TBL_CalcDarwin[[#This Row],[Expansión - Barra B - 5.2 - Cerro]]</f>
        <v>3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6" s="29">
        <f>TBL_CalcDarwin[[#This Row],[Expansión - Barra B - 5.2 - Cerro]]*TBL_CalcDarwin[[#This Row],[AEG 5.2 MW Cerro]]</f>
        <v>7.2269999999999994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45444.208333333328</v>
      </c>
      <c r="C7" s="17">
        <f t="shared" si="1"/>
        <v>0.20833333333333331</v>
      </c>
      <c r="D7" s="34">
        <f>TBL_CalcDarwin[[#This Row],[Darwin PLOM
MW]]+TBL_CalcDarwin[[#This Row],[Darwin PLOME
MW]]</f>
        <v>171.92900000000003</v>
      </c>
      <c r="E7" s="34">
        <f>TBL_CalcDarwin[[#This Row],[PLOM MW TOTAL BARRA A]]+TBL_CalcDarwin[[#This Row],[PLOM MW TOTAL BARRA B]]</f>
        <v>156.04200000000003</v>
      </c>
      <c r="F7" s="34">
        <f>TBL_CalcDarwin[[#This Row],[PLOME MW TOTAL BARRA A]]+TBL_CalcDarwin[[#This Row],[PLOME MW TOTAL BARRA B]]</f>
        <v>15.887</v>
      </c>
      <c r="G7" s="48">
        <f>'Plantilla Datos'!D12</f>
        <v>7.4</v>
      </c>
      <c r="H7" s="48">
        <f>'Plantilla Datos'!E12</f>
        <v>10.6</v>
      </c>
      <c r="I7" s="49">
        <f>'Plantilla Datos'!F12</f>
        <v>15.9</v>
      </c>
      <c r="J7" s="47">
        <f>CEILING('Plantilla Datos'!$L$3*TBL_CalcDarwin[[#This Row],[Darwin Gusts
m/s]],0.5)</f>
        <v>8</v>
      </c>
      <c r="K7" s="47">
        <f>CEILING('Plantilla Datos'!$L$4*TBL_CalcDarwin[[#This Row],[Darwin Gusts
m/s]],0.5)</f>
        <v>9.5</v>
      </c>
      <c r="L7" s="47">
        <f>CEILING(TBL_CalcDarwin[[#This Row],[Darwin Gusts
m/s]],0.5)</f>
        <v>11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7" s="41">
        <f>INDEX(Curva_Temp[Temp],MATCH(TBL_CalcDarwin[[#This Row],[Darwin Temp.
°C]],Curva_Temp[Temp]))</f>
        <v>15</v>
      </c>
      <c r="R7" s="41">
        <f>INDEX(Curva_Temp[Warranted Power Curve for 
1.194Kg/m3 air density '[kW']
SG 5.0-145 (AM+1, 5.2MW) AT 
90M],MATCH(TBL_CalcDarwin[[#This Row],[Darwin Temp.
°C]],Curva_Temp[Temp]))</f>
        <v>5200</v>
      </c>
      <c r="S7" s="41" cm="1">
        <f t="array" ref="S7">INDEX(Curva_Temp[Temp],MATCH(TBL_CalcDarwin[[#This Row],[Darwin Temp.
°C]],Curva_Temp[Temp])+1)</f>
        <v>20</v>
      </c>
      <c r="T7" s="41" cm="1">
        <f t="array" ref="T7">INDEX(Curva_Temp[Warranted Power Curve for 
1.194Kg/m3 air density '[kW']
SG 5.0-145 (AM+1, 5.2MW) AT 
90M],MATCH(TBL_CalcDarwin[[#This Row],[Darwin Temp.
°C]],Curva_Temp[Temp])+1)</f>
        <v>5000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7" s="41">
        <f>INDEX(Curva_Temp[Temp],MATCH(TBL_CalcDarwin[[#This Row],[Darwin Temp.
°C]],Curva_Temp[Temp]))</f>
        <v>15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20</v>
      </c>
      <c r="AB7" s="41" cm="1">
        <f t="array" ref="AB7">INDEX(Curva_Temp[Warranted Power Curve for 
1.194Kg/m3 air density '[kW']
SG 5.0-145 (AM 0, 5.0MW) AT 
90M],MATCH(TBL_CalcDarwin[[#This Row],[Darwin Temp.
°C]],Curva_Temp[Temp])+1)</f>
        <v>5000</v>
      </c>
      <c r="AC7" s="45">
        <f>HLOOKUP(TBL_CalcDarwin[[#This Row],[Fecha]],'Plantilla AEG ES'!$E$1:$HX$13,2,FALSE)</f>
        <v>3</v>
      </c>
      <c r="AD7" s="45">
        <f>HLOOKUP(TBL_CalcDarwin[[#This Row],[Fecha]],'Plantilla AEG ES'!$E$1:$HX$13,3,FALSE)</f>
        <v>5</v>
      </c>
      <c r="AE7" s="45">
        <f>HLOOKUP(TBL_CalcDarwin[[#This Row],[Fecha]],'Plantilla AEG ES'!$E$1:$HX$13,4,FALSE)</f>
        <v>9</v>
      </c>
      <c r="AF7" s="45">
        <f>HLOOKUP(TBL_CalcDarwin[[#This Row],[Fecha]],'Plantilla AEG ES'!$E$1:$HX$13,5,FALSE)</f>
        <v>2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0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3</v>
      </c>
      <c r="AK7" s="46">
        <f>HLOOKUP(TBL_CalcDarwin[[#This Row],[Fecha]],'Plantilla AEG ES'!$E$1:$HX$13,10,FALSE)</f>
        <v>10</v>
      </c>
      <c r="AL7" s="46">
        <f>HLOOKUP(TBL_CalcDarwin[[#This Row],[Fecha]],'Plantilla AEG ES'!$E$1:$HX$13,11,FALSE)</f>
        <v>0</v>
      </c>
      <c r="AM7" s="46">
        <f>HLOOKUP(TBL_CalcDarwin[[#This Row],[Fecha]],'Plantilla AEG ES'!$E$1:$HX$13,12,FALSE)</f>
        <v>5</v>
      </c>
      <c r="AN7" s="46">
        <f>HLOOKUP(TBL_CalcDarwin[[#This Row],[Fecha]],'Plantilla AEG ES'!$E$1:$HX$13,13,FALSE)</f>
        <v>3</v>
      </c>
      <c r="AO7" s="37">
        <f>TBL_CalcDarwin[[#This Row],[Lomitas - Barra A - 5.2 - Cerro]]+TBL_CalcDarwin[[#This Row],[Lomitas - Barra A - 5.2 - Medio]]+TBL_CalcDarwin[[#This Row],[Lomitas - Barra A - 5.2 - Mar]]</f>
        <v>17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71.041000000000011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85.001000000000005</v>
      </c>
      <c r="AS7" s="37">
        <f>TBL_CalcDarwin[[#This Row],[Expansión - Barra A - 5.2 - Cerro]]+TBL_CalcDarwin[[#This Row],[Expansión - Barra A - 5.2 - Medio]]+TBL_CalcDarwin[[#This Row],[Expansión - Barra A - 5.2 - Mar]]</f>
        <v>3</v>
      </c>
      <c r="AT7" s="37">
        <f>TBL_CalcDarwin[[#This Row],[Expansión - Barra B - 5.2 - Cerro]]</f>
        <v>3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7" s="29">
        <f>TBL_CalcDarwin[[#This Row],[Expansión - Barra B - 5.2 - Cerro]]*TBL_CalcDarwin[[#This Row],[AEG 5.2 MW Cerro]]</f>
        <v>7.2269999999999994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45444.249999999993</v>
      </c>
      <c r="C8" s="17">
        <f t="shared" si="1"/>
        <v>0.24999999999999997</v>
      </c>
      <c r="D8" s="34">
        <f>TBL_CalcDarwin[[#This Row],[Darwin PLOM
MW]]+TBL_CalcDarwin[[#This Row],[Darwin PLOME
MW]]</f>
        <v>157.44</v>
      </c>
      <c r="E8" s="34">
        <f>TBL_CalcDarwin[[#This Row],[PLOM MW TOTAL BARRA A]]+TBL_CalcDarwin[[#This Row],[PLOM MW TOTAL BARRA B]]</f>
        <v>144.184</v>
      </c>
      <c r="F8" s="34">
        <f>TBL_CalcDarwin[[#This Row],[PLOME MW TOTAL BARRA A]]+TBL_CalcDarwin[[#This Row],[PLOME MW TOTAL BARRA B]]</f>
        <v>13.256</v>
      </c>
      <c r="G8" s="48">
        <f>'Plantilla Datos'!D13</f>
        <v>6.9</v>
      </c>
      <c r="H8" s="48">
        <f>'Plantilla Datos'!E13</f>
        <v>10.3</v>
      </c>
      <c r="I8" s="49">
        <f>'Plantilla Datos'!F13</f>
        <v>16</v>
      </c>
      <c r="J8" s="47">
        <f>CEILING('Plantilla Datos'!$L$3*TBL_CalcDarwin[[#This Row],[Darwin Gusts
m/s]],0.5)</f>
        <v>7.5</v>
      </c>
      <c r="K8" s="47">
        <f>CEILING('Plantilla Datos'!$L$4*TBL_CalcDarwin[[#This Row],[Darwin Gusts
m/s]],0.5)</f>
        <v>9</v>
      </c>
      <c r="L8" s="47">
        <f>CEILING(TBL_CalcDarwin[[#This Row],[Darwin Gusts
m/s]],0.5)</f>
        <v>10.5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8" s="41">
        <f>INDEX(Curva_Temp[Temp],MATCH(TBL_CalcDarwin[[#This Row],[Darwin Temp.
°C]],Curva_Temp[Temp]))</f>
        <v>15</v>
      </c>
      <c r="R8" s="41">
        <f>INDEX(Curva_Temp[Warranted Power Curve for 
1.194Kg/m3 air density '[kW']
SG 5.0-145 (AM+1, 5.2MW) AT 
90M],MATCH(TBL_CalcDarwin[[#This Row],[Darwin Temp.
°C]],Curva_Temp[Temp]))</f>
        <v>5200</v>
      </c>
      <c r="S8" s="41" cm="1">
        <f t="array" ref="S8">INDEX(Curva_Temp[Temp],MATCH(TBL_CalcDarwin[[#This Row],[Darwin Temp.
°C]],Curva_Temp[Temp])+1)</f>
        <v>20</v>
      </c>
      <c r="T8" s="41" cm="1">
        <f t="array" ref="T8">INDEX(Curva_Temp[Warranted Power Curve for 
1.194Kg/m3 air density '[kW']
SG 5.0-145 (AM+1, 5.2MW) AT 
90M],MATCH(TBL_CalcDarwin[[#This Row],[Darwin Temp.
°C]],Curva_Temp[Temp])+1)</f>
        <v>5000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8" s="41">
        <f>INDEX(Curva_Temp[Temp],MATCH(TBL_CalcDarwin[[#This Row],[Darwin Temp.
°C]],Curva_Temp[Temp]))</f>
        <v>15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20</v>
      </c>
      <c r="AB8" s="41" cm="1">
        <f t="array" ref="AB8">INDEX(Curva_Temp[Warranted Power Curve for 
1.194Kg/m3 air density '[kW']
SG 5.0-145 (AM 0, 5.0MW) AT 
90M],MATCH(TBL_CalcDarwin[[#This Row],[Darwin Temp.
°C]],Curva_Temp[Temp])+1)</f>
        <v>5000</v>
      </c>
      <c r="AC8" s="45">
        <f>HLOOKUP(TBL_CalcDarwin[[#This Row],[Fecha]],'Plantilla AEG ES'!$E$1:$HX$13,2,FALSE)</f>
        <v>3</v>
      </c>
      <c r="AD8" s="45">
        <f>HLOOKUP(TBL_CalcDarwin[[#This Row],[Fecha]],'Plantilla AEG ES'!$E$1:$HX$13,3,FALSE)</f>
        <v>5</v>
      </c>
      <c r="AE8" s="45">
        <f>HLOOKUP(TBL_CalcDarwin[[#This Row],[Fecha]],'Plantilla AEG ES'!$E$1:$HX$13,4,FALSE)</f>
        <v>9</v>
      </c>
      <c r="AF8" s="45">
        <f>HLOOKUP(TBL_CalcDarwin[[#This Row],[Fecha]],'Plantilla AEG ES'!$E$1:$HX$13,5,FALSE)</f>
        <v>2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0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3</v>
      </c>
      <c r="AK8" s="46">
        <f>HLOOKUP(TBL_CalcDarwin[[#This Row],[Fecha]],'Plantilla AEG ES'!$E$1:$HX$13,10,FALSE)</f>
        <v>10</v>
      </c>
      <c r="AL8" s="46">
        <f>HLOOKUP(TBL_CalcDarwin[[#This Row],[Fecha]],'Plantilla AEG ES'!$E$1:$HX$13,11,FALSE)</f>
        <v>0</v>
      </c>
      <c r="AM8" s="46">
        <f>HLOOKUP(TBL_CalcDarwin[[#This Row],[Fecha]],'Plantilla AEG ES'!$E$1:$HX$13,12,FALSE)</f>
        <v>5</v>
      </c>
      <c r="AN8" s="46">
        <f>HLOOKUP(TBL_CalcDarwin[[#This Row],[Fecha]],'Plantilla AEG ES'!$E$1:$HX$13,13,FALSE)</f>
        <v>3</v>
      </c>
      <c r="AO8" s="37">
        <f>TBL_CalcDarwin[[#This Row],[Lomitas - Barra A - 5.2 - Cerro]]+TBL_CalcDarwin[[#This Row],[Lomitas - Barra A - 5.2 - Medio]]+TBL_CalcDarwin[[#This Row],[Lomitas - Barra A - 5.2 - Mar]]</f>
        <v>17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64.730999999999995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79.453000000000003</v>
      </c>
      <c r="AS8" s="37">
        <f>TBL_CalcDarwin[[#This Row],[Expansión - Barra A - 5.2 - Cerro]]+TBL_CalcDarwin[[#This Row],[Expansión - Barra A - 5.2 - Medio]]+TBL_CalcDarwin[[#This Row],[Expansión - Barra A - 5.2 - Mar]]</f>
        <v>3</v>
      </c>
      <c r="AT8" s="37">
        <f>TBL_CalcDarwin[[#This Row],[Expansión - Barra B - 5.2 - Cerro]]</f>
        <v>3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8" s="29">
        <f>TBL_CalcDarwin[[#This Row],[Expansión - Barra B - 5.2 - Cerro]]*TBL_CalcDarwin[[#This Row],[AEG 5.2 MW Cerro]]</f>
        <v>5.9340000000000002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45444.291666666657</v>
      </c>
      <c r="C9" s="17">
        <f t="shared" si="1"/>
        <v>0.29166666666666663</v>
      </c>
      <c r="D9" s="34">
        <f>TBL_CalcDarwin[[#This Row],[Darwin PLOM
MW]]+TBL_CalcDarwin[[#This Row],[Darwin PLOME
MW]]</f>
        <v>144.18199999999999</v>
      </c>
      <c r="E9" s="34">
        <f>TBL_CalcDarwin[[#This Row],[PLOM MW TOTAL BARRA A]]+TBL_CalcDarwin[[#This Row],[PLOM MW TOTAL BARRA B]]</f>
        <v>131.41399999999999</v>
      </c>
      <c r="F9" s="34">
        <f>TBL_CalcDarwin[[#This Row],[PLOME MW TOTAL BARRA A]]+TBL_CalcDarwin[[#This Row],[PLOME MW TOTAL BARRA B]]</f>
        <v>12.768000000000001</v>
      </c>
      <c r="G9" s="48">
        <f>'Plantilla Datos'!D14</f>
        <v>6.5</v>
      </c>
      <c r="H9" s="48">
        <f>'Plantilla Datos'!E14</f>
        <v>9.9</v>
      </c>
      <c r="I9" s="49">
        <f>'Plantilla Datos'!F14</f>
        <v>16.2</v>
      </c>
      <c r="J9" s="47">
        <f>CEILING('Plantilla Datos'!$L$3*TBL_CalcDarwin[[#This Row],[Darwin Gusts
m/s]],0.5)</f>
        <v>7.5</v>
      </c>
      <c r="K9" s="47">
        <f>CEILING('Plantilla Datos'!$L$4*TBL_CalcDarwin[[#This Row],[Darwin Gusts
m/s]],0.5)</f>
        <v>8.5</v>
      </c>
      <c r="L9" s="47">
        <f>CEILING(TBL_CalcDarwin[[#This Row],[Darwin Gusts
m/s]],0.5)</f>
        <v>10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9" s="41">
        <f>INDEX(Curva_Temp[Temp],MATCH(TBL_CalcDarwin[[#This Row],[Darwin Temp.
°C]],Curva_Temp[Temp]))</f>
        <v>15</v>
      </c>
      <c r="R9" s="41">
        <f>INDEX(Curva_Temp[Warranted Power Curve for 
1.194Kg/m3 air density '[kW']
SG 5.0-145 (AM+1, 5.2MW) AT 
90M],MATCH(TBL_CalcDarwin[[#This Row],[Darwin Temp.
°C]],Curva_Temp[Temp]))</f>
        <v>5200</v>
      </c>
      <c r="S9" s="41" cm="1">
        <f t="array" ref="S9">INDEX(Curva_Temp[Temp],MATCH(TBL_CalcDarwin[[#This Row],[Darwin Temp.
°C]],Curva_Temp[Temp])+1)</f>
        <v>20</v>
      </c>
      <c r="T9" s="41" cm="1">
        <f t="array" ref="T9">INDEX(Curva_Temp[Warranted Power Curve for 
1.194Kg/m3 air density '[kW']
SG 5.0-145 (AM+1, 5.2MW) AT 
90M],MATCH(TBL_CalcDarwin[[#This Row],[Darwin Temp.
°C]],Curva_Temp[Temp])+1)</f>
        <v>5000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9" s="41">
        <f>INDEX(Curva_Temp[Temp],MATCH(TBL_CalcDarwin[[#This Row],[Darwin Temp.
°C]],Curva_Temp[Temp]))</f>
        <v>15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20</v>
      </c>
      <c r="AB9" s="41" cm="1">
        <f t="array" ref="AB9">INDEX(Curva_Temp[Warranted Power Curve for 
1.194Kg/m3 air density '[kW']
SG 5.0-145 (AM 0, 5.0MW) AT 
90M],MATCH(TBL_CalcDarwin[[#This Row],[Darwin Temp.
°C]],Curva_Temp[Temp])+1)</f>
        <v>5000</v>
      </c>
      <c r="AC9" s="45">
        <f>HLOOKUP(TBL_CalcDarwin[[#This Row],[Fecha]],'Plantilla AEG ES'!$E$1:$HX$13,2,FALSE)</f>
        <v>3</v>
      </c>
      <c r="AD9" s="45">
        <f>HLOOKUP(TBL_CalcDarwin[[#This Row],[Fecha]],'Plantilla AEG ES'!$E$1:$HX$13,3,FALSE)</f>
        <v>5</v>
      </c>
      <c r="AE9" s="45">
        <f>HLOOKUP(TBL_CalcDarwin[[#This Row],[Fecha]],'Plantilla AEG ES'!$E$1:$HX$13,4,FALSE)</f>
        <v>9</v>
      </c>
      <c r="AF9" s="45">
        <f>HLOOKUP(TBL_CalcDarwin[[#This Row],[Fecha]],'Plantilla AEG ES'!$E$1:$HX$13,5,FALSE)</f>
        <v>2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0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3</v>
      </c>
      <c r="AK9" s="46">
        <f>HLOOKUP(TBL_CalcDarwin[[#This Row],[Fecha]],'Plantilla AEG ES'!$E$1:$HX$13,10,FALSE)</f>
        <v>10</v>
      </c>
      <c r="AL9" s="46">
        <f>HLOOKUP(TBL_CalcDarwin[[#This Row],[Fecha]],'Plantilla AEG ES'!$E$1:$HX$13,11,FALSE)</f>
        <v>0</v>
      </c>
      <c r="AM9" s="46">
        <f>HLOOKUP(TBL_CalcDarwin[[#This Row],[Fecha]],'Plantilla AEG ES'!$E$1:$HX$13,12,FALSE)</f>
        <v>5</v>
      </c>
      <c r="AN9" s="46">
        <f>HLOOKUP(TBL_CalcDarwin[[#This Row],[Fecha]],'Plantilla AEG ES'!$E$1:$HX$13,13,FALSE)</f>
        <v>3</v>
      </c>
      <c r="AO9" s="37">
        <f>TBL_CalcDarwin[[#This Row],[Lomitas - Barra A - 5.2 - Cerro]]+TBL_CalcDarwin[[#This Row],[Lomitas - Barra A - 5.2 - Medio]]+TBL_CalcDarwin[[#This Row],[Lomitas - Barra A - 5.2 - Mar]]</f>
        <v>17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58.879999999999995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72.533999999999992</v>
      </c>
      <c r="AS9" s="37">
        <f>TBL_CalcDarwin[[#This Row],[Expansión - Barra A - 5.2 - Cerro]]+TBL_CalcDarwin[[#This Row],[Expansión - Barra A - 5.2 - Medio]]+TBL_CalcDarwin[[#This Row],[Expansión - Barra A - 5.2 - Mar]]</f>
        <v>3</v>
      </c>
      <c r="AT9" s="37">
        <f>TBL_CalcDarwin[[#This Row],[Expansión - Barra B - 5.2 - Cerro]]</f>
        <v>3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6.8339999999999996</v>
      </c>
      <c r="AV9" s="29">
        <f>TBL_CalcDarwin[[#This Row],[Expansión - Barra B - 5.2 - Cerro]]*TBL_CalcDarwin[[#This Row],[AEG 5.2 MW Cerro]]</f>
        <v>5.9340000000000002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45444.333333333321</v>
      </c>
      <c r="C10" s="17">
        <f t="shared" si="1"/>
        <v>0.33333333333333331</v>
      </c>
      <c r="D10" s="34">
        <f>TBL_CalcDarwin[[#This Row],[Darwin PLOM
MW]]+TBL_CalcDarwin[[#This Row],[Darwin PLOME
MW]]</f>
        <v>141.13399999999999</v>
      </c>
      <c r="E10" s="34">
        <f>TBL_CalcDarwin[[#This Row],[PLOM MW TOTAL BARRA A]]+TBL_CalcDarwin[[#This Row],[PLOM MW TOTAL BARRA B]]</f>
        <v>130.27099999999999</v>
      </c>
      <c r="F10" s="34">
        <f>TBL_CalcDarwin[[#This Row],[PLOME MW TOTAL BARRA A]]+TBL_CalcDarwin[[#This Row],[PLOME MW TOTAL BARRA B]]</f>
        <v>10.863</v>
      </c>
      <c r="G10" s="48">
        <f>'Plantilla Datos'!D15</f>
        <v>6.3</v>
      </c>
      <c r="H10" s="48">
        <f>'Plantilla Datos'!E15</f>
        <v>9.6</v>
      </c>
      <c r="I10" s="49">
        <f>'Plantilla Datos'!F15</f>
        <v>16.399999999999999</v>
      </c>
      <c r="J10" s="47">
        <f>CEILING('Plantilla Datos'!$L$3*TBL_CalcDarwin[[#This Row],[Darwin Gusts
m/s]],0.5)</f>
        <v>7</v>
      </c>
      <c r="K10" s="47">
        <f>CEILING('Plantilla Datos'!$L$4*TBL_CalcDarwin[[#This Row],[Darwin Gusts
m/s]],0.5)</f>
        <v>8.5</v>
      </c>
      <c r="L10" s="47">
        <f>CEILING(TBL_CalcDarwin[[#This Row],[Darwin Gusts
m/s]],0.5)</f>
        <v>10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0" s="41">
        <f>INDEX(Curva_Temp[Temp],MATCH(TBL_CalcDarwin[[#This Row],[Darwin Temp.
°C]],Curva_Temp[Temp]))</f>
        <v>15</v>
      </c>
      <c r="R10" s="41">
        <f>INDEX(Curva_Temp[Warranted Power Curve for 
1.194Kg/m3 air density '[kW']
SG 5.0-145 (AM+1, 5.2MW) AT 
90M],MATCH(TBL_CalcDarwin[[#This Row],[Darwin Temp.
°C]],Curva_Temp[Temp]))</f>
        <v>5200</v>
      </c>
      <c r="S10" s="41" cm="1">
        <f t="array" ref="S10">INDEX(Curva_Temp[Temp],MATCH(TBL_CalcDarwin[[#This Row],[Darwin Temp.
°C]],Curva_Temp[Temp])+1)</f>
        <v>20</v>
      </c>
      <c r="T10" s="41" cm="1">
        <f t="array" ref="T10">INDEX(Curva_Temp[Warranted Power Curve for 
1.194Kg/m3 air density '[kW']
SG 5.0-145 (AM+1, 5.2MW) AT 
90M],MATCH(TBL_CalcDarwin[[#This Row],[Darwin Temp.
°C]],Curva_Temp[Temp])+1)</f>
        <v>5000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0" s="41">
        <f>INDEX(Curva_Temp[Temp],MATCH(TBL_CalcDarwin[[#This Row],[Darwin Temp.
°C]],Curva_Temp[Temp]))</f>
        <v>15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20</v>
      </c>
      <c r="AB10" s="41" cm="1">
        <f t="array" ref="AB10">INDEX(Curva_Temp[Warranted Power Curve for 
1.194Kg/m3 air density '[kW']
SG 5.0-145 (AM 0, 5.0MW) AT 
90M],MATCH(TBL_CalcDarwin[[#This Row],[Darwin Temp.
°C]],Curva_Temp[Temp])+1)</f>
        <v>5000</v>
      </c>
      <c r="AC10" s="45">
        <f>HLOOKUP(TBL_CalcDarwin[[#This Row],[Fecha]],'Plantilla AEG ES'!$E$1:$HX$13,2,FALSE)</f>
        <v>3</v>
      </c>
      <c r="AD10" s="45">
        <f>HLOOKUP(TBL_CalcDarwin[[#This Row],[Fecha]],'Plantilla AEG ES'!$E$1:$HX$13,3,FALSE)</f>
        <v>5</v>
      </c>
      <c r="AE10" s="45">
        <f>HLOOKUP(TBL_CalcDarwin[[#This Row],[Fecha]],'Plantilla AEG ES'!$E$1:$HX$13,4,FALSE)</f>
        <v>9</v>
      </c>
      <c r="AF10" s="45">
        <f>HLOOKUP(TBL_CalcDarwin[[#This Row],[Fecha]],'Plantilla AEG ES'!$E$1:$HX$13,5,FALSE)</f>
        <v>2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0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3</v>
      </c>
      <c r="AK10" s="46">
        <f>HLOOKUP(TBL_CalcDarwin[[#This Row],[Fecha]],'Plantilla AEG ES'!$E$1:$HX$13,10,FALSE)</f>
        <v>10</v>
      </c>
      <c r="AL10" s="46">
        <f>HLOOKUP(TBL_CalcDarwin[[#This Row],[Fecha]],'Plantilla AEG ES'!$E$1:$HX$13,11,FALSE)</f>
        <v>0</v>
      </c>
      <c r="AM10" s="46">
        <f>HLOOKUP(TBL_CalcDarwin[[#This Row],[Fecha]],'Plantilla AEG ES'!$E$1:$HX$13,12,FALSE)</f>
        <v>5</v>
      </c>
      <c r="AN10" s="46">
        <f>HLOOKUP(TBL_CalcDarwin[[#This Row],[Fecha]],'Plantilla AEG ES'!$E$1:$HX$13,13,FALSE)</f>
        <v>3</v>
      </c>
      <c r="AO10" s="37">
        <f>TBL_CalcDarwin[[#This Row],[Lomitas - Barra A - 5.2 - Cerro]]+TBL_CalcDarwin[[#This Row],[Lomitas - Barra A - 5.2 - Medio]]+TBL_CalcDarwin[[#This Row],[Lomitas - Barra A - 5.2 - Mar]]</f>
        <v>17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57.736999999999995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72.533999999999992</v>
      </c>
      <c r="AS10" s="37">
        <f>TBL_CalcDarwin[[#This Row],[Expansión - Barra A - 5.2 - Cerro]]+TBL_CalcDarwin[[#This Row],[Expansión - Barra A - 5.2 - Medio]]+TBL_CalcDarwin[[#This Row],[Expansión - Barra A - 5.2 - Mar]]</f>
        <v>3</v>
      </c>
      <c r="AT10" s="37">
        <f>TBL_CalcDarwin[[#This Row],[Expansión - Barra B - 5.2 - Cerro]]</f>
        <v>3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10" s="29">
        <f>TBL_CalcDarwin[[#This Row],[Expansión - Barra B - 5.2 - Cerro]]*TBL_CalcDarwin[[#This Row],[AEG 5.2 MW Cerro]]</f>
        <v>4.7910000000000004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45444.374999999985</v>
      </c>
      <c r="C11" s="17">
        <f t="shared" si="1"/>
        <v>0.375</v>
      </c>
      <c r="D11" s="34">
        <f>TBL_CalcDarwin[[#This Row],[Darwin PLOM
MW]]+TBL_CalcDarwin[[#This Row],[Darwin PLOME
MW]]</f>
        <v>126.44500000000001</v>
      </c>
      <c r="E11" s="34">
        <f>TBL_CalcDarwin[[#This Row],[PLOM MW TOTAL BARRA A]]+TBL_CalcDarwin[[#This Row],[PLOM MW TOTAL BARRA B]]</f>
        <v>116.051</v>
      </c>
      <c r="F11" s="34">
        <f>TBL_CalcDarwin[[#This Row],[PLOME MW TOTAL BARRA A]]+TBL_CalcDarwin[[#This Row],[PLOME MW TOTAL BARRA B]]</f>
        <v>10.394</v>
      </c>
      <c r="G11" s="48">
        <f>'Plantilla Datos'!D16</f>
        <v>6.3</v>
      </c>
      <c r="H11" s="48">
        <f>'Plantilla Datos'!E16</f>
        <v>9.3000000000000007</v>
      </c>
      <c r="I11" s="49">
        <f>'Plantilla Datos'!F16</f>
        <v>16.399999999999999</v>
      </c>
      <c r="J11" s="47">
        <f>CEILING('Plantilla Datos'!$L$3*TBL_CalcDarwin[[#This Row],[Darwin Gusts
m/s]],0.5)</f>
        <v>7</v>
      </c>
      <c r="K11" s="47">
        <f>CEILING('Plantilla Datos'!$L$4*TBL_CalcDarwin[[#This Row],[Darwin Gusts
m/s]],0.5)</f>
        <v>8</v>
      </c>
      <c r="L11" s="47">
        <f>CEILING(TBL_CalcDarwin[[#This Row],[Darwin Gusts
m/s]],0.5)</f>
        <v>9.5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1" s="41">
        <f>INDEX(Curva_Temp[Temp],MATCH(TBL_CalcDarwin[[#This Row],[Darwin Temp.
°C]],Curva_Temp[Temp]))</f>
        <v>15</v>
      </c>
      <c r="R11" s="41">
        <f>INDEX(Curva_Temp[Warranted Power Curve for 
1.194Kg/m3 air density '[kW']
SG 5.0-145 (AM+1, 5.2MW) AT 
90M],MATCH(TBL_CalcDarwin[[#This Row],[Darwin Temp.
°C]],Curva_Temp[Temp]))</f>
        <v>5200</v>
      </c>
      <c r="S11" s="41" cm="1">
        <f t="array" ref="S11">INDEX(Curva_Temp[Temp],MATCH(TBL_CalcDarwin[[#This Row],[Darwin Temp.
°C]],Curva_Temp[Temp])+1)</f>
        <v>20</v>
      </c>
      <c r="T11" s="41" cm="1">
        <f t="array" ref="T11">INDEX(Curva_Temp[Warranted Power Curve for 
1.194Kg/m3 air density '[kW']
SG 5.0-145 (AM+1, 5.2MW) AT 
90M],MATCH(TBL_CalcDarwin[[#This Row],[Darwin Temp.
°C]],Curva_Temp[Temp])+1)</f>
        <v>5000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1" s="41">
        <f>INDEX(Curva_Temp[Temp],MATCH(TBL_CalcDarwin[[#This Row],[Darwin Temp.
°C]],Curva_Temp[Temp]))</f>
        <v>15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20</v>
      </c>
      <c r="AB11" s="41" cm="1">
        <f t="array" ref="AB11">INDEX(Curva_Temp[Warranted Power Curve for 
1.194Kg/m3 air density '[kW']
SG 5.0-145 (AM 0, 5.0MW) AT 
90M],MATCH(TBL_CalcDarwin[[#This Row],[Darwin Temp.
°C]],Curva_Temp[Temp])+1)</f>
        <v>5000</v>
      </c>
      <c r="AC11" s="45">
        <f>HLOOKUP(TBL_CalcDarwin[[#This Row],[Fecha]],'Plantilla AEG ES'!$E$1:$HX$13,2,FALSE)</f>
        <v>3</v>
      </c>
      <c r="AD11" s="45">
        <f>HLOOKUP(TBL_CalcDarwin[[#This Row],[Fecha]],'Plantilla AEG ES'!$E$1:$HX$13,3,FALSE)</f>
        <v>5</v>
      </c>
      <c r="AE11" s="45">
        <f>HLOOKUP(TBL_CalcDarwin[[#This Row],[Fecha]],'Plantilla AEG ES'!$E$1:$HX$13,4,FALSE)</f>
        <v>9</v>
      </c>
      <c r="AF11" s="45">
        <f>HLOOKUP(TBL_CalcDarwin[[#This Row],[Fecha]],'Plantilla AEG ES'!$E$1:$HX$13,5,FALSE)</f>
        <v>2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0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3</v>
      </c>
      <c r="AK11" s="46">
        <f>HLOOKUP(TBL_CalcDarwin[[#This Row],[Fecha]],'Plantilla AEG ES'!$E$1:$HX$13,10,FALSE)</f>
        <v>10</v>
      </c>
      <c r="AL11" s="46">
        <f>HLOOKUP(TBL_CalcDarwin[[#This Row],[Fecha]],'Plantilla AEG ES'!$E$1:$HX$13,11,FALSE)</f>
        <v>0</v>
      </c>
      <c r="AM11" s="46">
        <f>HLOOKUP(TBL_CalcDarwin[[#This Row],[Fecha]],'Plantilla AEG ES'!$E$1:$HX$13,12,FALSE)</f>
        <v>5</v>
      </c>
      <c r="AN11" s="46">
        <f>HLOOKUP(TBL_CalcDarwin[[#This Row],[Fecha]],'Plantilla AEG ES'!$E$1:$HX$13,13,FALSE)</f>
        <v>3</v>
      </c>
      <c r="AO11" s="37">
        <f>TBL_CalcDarwin[[#This Row],[Lomitas - Barra A - 5.2 - Cerro]]+TBL_CalcDarwin[[#This Row],[Lomitas - Barra A - 5.2 - Medio]]+TBL_CalcDarwin[[#This Row],[Lomitas - Barra A - 5.2 - Mar]]</f>
        <v>17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51.414000000000001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64.637</v>
      </c>
      <c r="AS11" s="37">
        <f>TBL_CalcDarwin[[#This Row],[Expansión - Barra A - 5.2 - Cerro]]+TBL_CalcDarwin[[#This Row],[Expansión - Barra A - 5.2 - Medio]]+TBL_CalcDarwin[[#This Row],[Expansión - Barra A - 5.2 - Mar]]</f>
        <v>3</v>
      </c>
      <c r="AT11" s="37">
        <f>TBL_CalcDarwin[[#This Row],[Expansión - Barra B - 5.2 - Cerro]]</f>
        <v>3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11" s="29">
        <f>TBL_CalcDarwin[[#This Row],[Expansión - Barra B - 5.2 - Cerro]]*TBL_CalcDarwin[[#This Row],[AEG 5.2 MW Cerro]]</f>
        <v>4.7910000000000004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45444.41666666665</v>
      </c>
      <c r="C12" s="17">
        <f t="shared" si="1"/>
        <v>0.41666666666666669</v>
      </c>
      <c r="D12" s="34">
        <f>TBL_CalcDarwin[[#This Row],[Darwin PLOM
MW]]+TBL_CalcDarwin[[#This Row],[Darwin PLOME
MW]]</f>
        <v>126.44500000000001</v>
      </c>
      <c r="E12" s="34">
        <f>TBL_CalcDarwin[[#This Row],[PLOM MW TOTAL BARRA A]]+TBL_CalcDarwin[[#This Row],[PLOM MW TOTAL BARRA B]]</f>
        <v>116.051</v>
      </c>
      <c r="F12" s="34">
        <f>TBL_CalcDarwin[[#This Row],[PLOME MW TOTAL BARRA A]]+TBL_CalcDarwin[[#This Row],[PLOME MW TOTAL BARRA B]]</f>
        <v>10.394</v>
      </c>
      <c r="G12" s="48">
        <f>'Plantilla Datos'!D17</f>
        <v>6.7</v>
      </c>
      <c r="H12" s="48">
        <f>'Plantilla Datos'!E17</f>
        <v>9.3000000000000007</v>
      </c>
      <c r="I12" s="49">
        <f>'Plantilla Datos'!F17</f>
        <v>17.3</v>
      </c>
      <c r="J12" s="47">
        <f>CEILING('Plantilla Datos'!$L$3*TBL_CalcDarwin[[#This Row],[Darwin Gusts
m/s]],0.5)</f>
        <v>7</v>
      </c>
      <c r="K12" s="47">
        <f>CEILING('Plantilla Datos'!$L$4*TBL_CalcDarwin[[#This Row],[Darwin Gusts
m/s]],0.5)</f>
        <v>8</v>
      </c>
      <c r="L12" s="47">
        <f>CEILING(TBL_CalcDarwin[[#This Row],[Darwin Gusts
m/s]],0.5)</f>
        <v>9.5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2" s="41">
        <f>INDEX(Curva_Temp[Temp],MATCH(TBL_CalcDarwin[[#This Row],[Darwin Temp.
°C]],Curva_Temp[Temp]))</f>
        <v>15</v>
      </c>
      <c r="R12" s="41">
        <f>INDEX(Curva_Temp[Warranted Power Curve for 
1.194Kg/m3 air density '[kW']
SG 5.0-145 (AM+1, 5.2MW) AT 
90M],MATCH(TBL_CalcDarwin[[#This Row],[Darwin Temp.
°C]],Curva_Temp[Temp]))</f>
        <v>5200</v>
      </c>
      <c r="S12" s="41" cm="1">
        <f t="array" ref="S12">INDEX(Curva_Temp[Temp],MATCH(TBL_CalcDarwin[[#This Row],[Darwin Temp.
°C]],Curva_Temp[Temp])+1)</f>
        <v>20</v>
      </c>
      <c r="T12" s="41" cm="1">
        <f t="array" ref="T12">INDEX(Curva_Temp[Warranted Power Curve for 
1.194Kg/m3 air density '[kW']
SG 5.0-145 (AM+1, 5.2MW) AT 
90M],MATCH(TBL_CalcDarwin[[#This Row],[Darwin Temp.
°C]],Curva_Temp[Temp])+1)</f>
        <v>5000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2" s="41">
        <f>INDEX(Curva_Temp[Temp],MATCH(TBL_CalcDarwin[[#This Row],[Darwin Temp.
°C]],Curva_Temp[Temp]))</f>
        <v>15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20</v>
      </c>
      <c r="AB12" s="41" cm="1">
        <f t="array" ref="AB12">INDEX(Curva_Temp[Warranted Power Curve for 
1.194Kg/m3 air density '[kW']
SG 5.0-145 (AM 0, 5.0MW) AT 
90M],MATCH(TBL_CalcDarwin[[#This Row],[Darwin Temp.
°C]],Curva_Temp[Temp])+1)</f>
        <v>5000</v>
      </c>
      <c r="AC12" s="45">
        <f>HLOOKUP(TBL_CalcDarwin[[#This Row],[Fecha]],'Plantilla AEG ES'!$E$1:$HX$13,2,FALSE)</f>
        <v>3</v>
      </c>
      <c r="AD12" s="45">
        <f>HLOOKUP(TBL_CalcDarwin[[#This Row],[Fecha]],'Plantilla AEG ES'!$E$1:$HX$13,3,FALSE)</f>
        <v>5</v>
      </c>
      <c r="AE12" s="45">
        <f>HLOOKUP(TBL_CalcDarwin[[#This Row],[Fecha]],'Plantilla AEG ES'!$E$1:$HX$13,4,FALSE)</f>
        <v>9</v>
      </c>
      <c r="AF12" s="45">
        <f>HLOOKUP(TBL_CalcDarwin[[#This Row],[Fecha]],'Plantilla AEG ES'!$E$1:$HX$13,5,FALSE)</f>
        <v>2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0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3</v>
      </c>
      <c r="AK12" s="46">
        <f>HLOOKUP(TBL_CalcDarwin[[#This Row],[Fecha]],'Plantilla AEG ES'!$E$1:$HX$13,10,FALSE)</f>
        <v>10</v>
      </c>
      <c r="AL12" s="46">
        <f>HLOOKUP(TBL_CalcDarwin[[#This Row],[Fecha]],'Plantilla AEG ES'!$E$1:$HX$13,11,FALSE)</f>
        <v>0</v>
      </c>
      <c r="AM12" s="46">
        <f>HLOOKUP(TBL_CalcDarwin[[#This Row],[Fecha]],'Plantilla AEG ES'!$E$1:$HX$13,12,FALSE)</f>
        <v>5</v>
      </c>
      <c r="AN12" s="46">
        <f>HLOOKUP(TBL_CalcDarwin[[#This Row],[Fecha]],'Plantilla AEG ES'!$E$1:$HX$13,13,FALSE)</f>
        <v>3</v>
      </c>
      <c r="AO12" s="37">
        <f>TBL_CalcDarwin[[#This Row],[Lomitas - Barra A - 5.2 - Cerro]]+TBL_CalcDarwin[[#This Row],[Lomitas - Barra A - 5.2 - Medio]]+TBL_CalcDarwin[[#This Row],[Lomitas - Barra A - 5.2 - Mar]]</f>
        <v>17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51.414000000000001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64.637</v>
      </c>
      <c r="AS12" s="37">
        <f>TBL_CalcDarwin[[#This Row],[Expansión - Barra A - 5.2 - Cerro]]+TBL_CalcDarwin[[#This Row],[Expansión - Barra A - 5.2 - Medio]]+TBL_CalcDarwin[[#This Row],[Expansión - Barra A - 5.2 - Mar]]</f>
        <v>3</v>
      </c>
      <c r="AT12" s="37">
        <f>TBL_CalcDarwin[[#This Row],[Expansión - Barra B - 5.2 - Cerro]]</f>
        <v>3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12" s="29">
        <f>TBL_CalcDarwin[[#This Row],[Expansión - Barra B - 5.2 - Cerro]]*TBL_CalcDarwin[[#This Row],[AEG 5.2 MW Cerro]]</f>
        <v>4.7910000000000004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45444.458333333314</v>
      </c>
      <c r="C13" s="17">
        <f t="shared" si="1"/>
        <v>0.45833333333333337</v>
      </c>
      <c r="D13" s="34">
        <f>TBL_CalcDarwin[[#This Row],[Darwin PLOM
MW]]+TBL_CalcDarwin[[#This Row],[Darwin PLOME
MW]]</f>
        <v>130.666</v>
      </c>
      <c r="E13" s="34">
        <f>TBL_CalcDarwin[[#This Row],[PLOM MW TOTAL BARRA A]]+TBL_CalcDarwin[[#This Row],[PLOM MW TOTAL BARRA B]]</f>
        <v>119.80300000000001</v>
      </c>
      <c r="F13" s="34">
        <f>TBL_CalcDarwin[[#This Row],[PLOME MW TOTAL BARRA A]]+TBL_CalcDarwin[[#This Row],[PLOME MW TOTAL BARRA B]]</f>
        <v>10.863</v>
      </c>
      <c r="G13" s="48">
        <f>'Plantilla Datos'!D18</f>
        <v>7.1</v>
      </c>
      <c r="H13" s="48">
        <f>'Plantilla Datos'!E18</f>
        <v>9.5</v>
      </c>
      <c r="I13" s="49">
        <f>'Plantilla Datos'!F18</f>
        <v>18</v>
      </c>
      <c r="J13" s="47">
        <f>CEILING('Plantilla Datos'!$L$3*TBL_CalcDarwin[[#This Row],[Darwin Gusts
m/s]],0.5)</f>
        <v>7</v>
      </c>
      <c r="K13" s="47">
        <f>CEILING('Plantilla Datos'!$L$4*TBL_CalcDarwin[[#This Row],[Darwin Gusts
m/s]],0.5)</f>
        <v>8.5</v>
      </c>
      <c r="L13" s="47">
        <f>CEILING(TBL_CalcDarwin[[#This Row],[Darwin Gusts
m/s]],0.5)</f>
        <v>9.5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3" s="41">
        <f>INDEX(Curva_Temp[Temp],MATCH(TBL_CalcDarwin[[#This Row],[Darwin Temp.
°C]],Curva_Temp[Temp]))</f>
        <v>15</v>
      </c>
      <c r="R13" s="41">
        <f>INDEX(Curva_Temp[Warranted Power Curve for 
1.194Kg/m3 air density '[kW']
SG 5.0-145 (AM+1, 5.2MW) AT 
90M],MATCH(TBL_CalcDarwin[[#This Row],[Darwin Temp.
°C]],Curva_Temp[Temp]))</f>
        <v>5200</v>
      </c>
      <c r="S13" s="41" cm="1">
        <f t="array" ref="S13">INDEX(Curva_Temp[Temp],MATCH(TBL_CalcDarwin[[#This Row],[Darwin Temp.
°C]],Curva_Temp[Temp])+1)</f>
        <v>20</v>
      </c>
      <c r="T13" s="41" cm="1">
        <f t="array" ref="T13">INDEX(Curva_Temp[Warranted Power Curve for 
1.194Kg/m3 air density '[kW']
SG 5.0-145 (AM+1, 5.2MW) AT 
90M],MATCH(TBL_CalcDarwin[[#This Row],[Darwin Temp.
°C]],Curva_Temp[Temp])+1)</f>
        <v>5000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3" s="41">
        <f>INDEX(Curva_Temp[Temp],MATCH(TBL_CalcDarwin[[#This Row],[Darwin Temp.
°C]],Curva_Temp[Temp]))</f>
        <v>15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20</v>
      </c>
      <c r="AB13" s="41" cm="1">
        <f t="array" ref="AB13">INDEX(Curva_Temp[Warranted Power Curve for 
1.194Kg/m3 air density '[kW']
SG 5.0-145 (AM 0, 5.0MW) AT 
90M],MATCH(TBL_CalcDarwin[[#This Row],[Darwin Temp.
°C]],Curva_Temp[Temp])+1)</f>
        <v>5000</v>
      </c>
      <c r="AC13" s="45">
        <f>HLOOKUP(TBL_CalcDarwin[[#This Row],[Fecha]],'Plantilla AEG ES'!$E$1:$HX$13,2,FALSE)</f>
        <v>3</v>
      </c>
      <c r="AD13" s="45">
        <f>HLOOKUP(TBL_CalcDarwin[[#This Row],[Fecha]],'Plantilla AEG ES'!$E$1:$HX$13,3,FALSE)</f>
        <v>5</v>
      </c>
      <c r="AE13" s="45">
        <f>HLOOKUP(TBL_CalcDarwin[[#This Row],[Fecha]],'Plantilla AEG ES'!$E$1:$HX$13,4,FALSE)</f>
        <v>9</v>
      </c>
      <c r="AF13" s="45">
        <f>HLOOKUP(TBL_CalcDarwin[[#This Row],[Fecha]],'Plantilla AEG ES'!$E$1:$HX$13,5,FALSE)</f>
        <v>2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0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3</v>
      </c>
      <c r="AK13" s="46">
        <f>HLOOKUP(TBL_CalcDarwin[[#This Row],[Fecha]],'Plantilla AEG ES'!$E$1:$HX$13,10,FALSE)</f>
        <v>10</v>
      </c>
      <c r="AL13" s="46">
        <f>HLOOKUP(TBL_CalcDarwin[[#This Row],[Fecha]],'Plantilla AEG ES'!$E$1:$HX$13,11,FALSE)</f>
        <v>0</v>
      </c>
      <c r="AM13" s="46">
        <f>HLOOKUP(TBL_CalcDarwin[[#This Row],[Fecha]],'Plantilla AEG ES'!$E$1:$HX$13,12,FALSE)</f>
        <v>5</v>
      </c>
      <c r="AN13" s="46">
        <f>HLOOKUP(TBL_CalcDarwin[[#This Row],[Fecha]],'Plantilla AEG ES'!$E$1:$HX$13,13,FALSE)</f>
        <v>3</v>
      </c>
      <c r="AO13" s="37">
        <f>TBL_CalcDarwin[[#This Row],[Lomitas - Barra A - 5.2 - Cerro]]+TBL_CalcDarwin[[#This Row],[Lomitas - Barra A - 5.2 - Medio]]+TBL_CalcDarwin[[#This Row],[Lomitas - Barra A - 5.2 - Mar]]</f>
        <v>17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53.759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66.044000000000011</v>
      </c>
      <c r="AS13" s="37">
        <f>TBL_CalcDarwin[[#This Row],[Expansión - Barra A - 5.2 - Cerro]]+TBL_CalcDarwin[[#This Row],[Expansión - Barra A - 5.2 - Medio]]+TBL_CalcDarwin[[#This Row],[Expansión - Barra A - 5.2 - Mar]]</f>
        <v>3</v>
      </c>
      <c r="AT13" s="37">
        <f>TBL_CalcDarwin[[#This Row],[Expansión - Barra B - 5.2 - Cerro]]</f>
        <v>3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13" s="29">
        <f>TBL_CalcDarwin[[#This Row],[Expansión - Barra B - 5.2 - Cerro]]*TBL_CalcDarwin[[#This Row],[AEG 5.2 MW Cerro]]</f>
        <v>4.7910000000000004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45444.499999999978</v>
      </c>
      <c r="C14" s="17">
        <f t="shared" si="1"/>
        <v>0.5</v>
      </c>
      <c r="D14" s="34">
        <f>TBL_CalcDarwin[[#This Row],[Darwin PLOM
MW]]+TBL_CalcDarwin[[#This Row],[Darwin PLOME
MW]]</f>
        <v>108.56399999999999</v>
      </c>
      <c r="E14" s="34">
        <f>TBL_CalcDarwin[[#This Row],[PLOM MW TOTAL BARRA A]]+TBL_CalcDarwin[[#This Row],[PLOM MW TOTAL BARRA B]]</f>
        <v>100.256</v>
      </c>
      <c r="F14" s="34">
        <f>TBL_CalcDarwin[[#This Row],[PLOME MW TOTAL BARRA A]]+TBL_CalcDarwin[[#This Row],[PLOME MW TOTAL BARRA B]]</f>
        <v>8.3079999999999998</v>
      </c>
      <c r="G14" s="48">
        <f>'Plantilla Datos'!D19</f>
        <v>6.6</v>
      </c>
      <c r="H14" s="48">
        <f>'Plantilla Datos'!E19</f>
        <v>8.8000000000000007</v>
      </c>
      <c r="I14" s="49">
        <f>'Plantilla Datos'!F19</f>
        <v>18.899999999999999</v>
      </c>
      <c r="J14" s="47">
        <f>CEILING('Plantilla Datos'!$L$3*TBL_CalcDarwin[[#This Row],[Darwin Gusts
m/s]],0.5)</f>
        <v>6.5</v>
      </c>
      <c r="K14" s="47">
        <f>CEILING('Plantilla Datos'!$L$4*TBL_CalcDarwin[[#This Row],[Darwin Gusts
m/s]],0.5)</f>
        <v>7.5</v>
      </c>
      <c r="L14" s="47">
        <f>CEILING(TBL_CalcDarwin[[#This Row],[Darwin Gusts
m/s]],0.5)</f>
        <v>9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" s="41">
        <f>INDEX(Curva_Temp[Temp],MATCH(TBL_CalcDarwin[[#This Row],[Darwin Temp.
°C]],Curva_Temp[Temp]))</f>
        <v>15</v>
      </c>
      <c r="R14" s="41">
        <f>INDEX(Curva_Temp[Warranted Power Curve for 
1.194Kg/m3 air density '[kW']
SG 5.0-145 (AM+1, 5.2MW) AT 
90M],MATCH(TBL_CalcDarwin[[#This Row],[Darwin Temp.
°C]],Curva_Temp[Temp]))</f>
        <v>5200</v>
      </c>
      <c r="S14" s="41" cm="1">
        <f t="array" ref="S14">INDEX(Curva_Temp[Temp],MATCH(TBL_CalcDarwin[[#This Row],[Darwin Temp.
°C]],Curva_Temp[Temp])+1)</f>
        <v>20</v>
      </c>
      <c r="T14" s="41" cm="1">
        <f t="array" ref="T14">INDEX(Curva_Temp[Warranted Power Curve for 
1.194Kg/m3 air density '[kW']
SG 5.0-145 (AM+1, 5.2MW) AT 
90M],MATCH(TBL_CalcDarwin[[#This Row],[Darwin Temp.
°C]],Curva_Temp[Temp])+1)</f>
        <v>5000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" s="41">
        <f>INDEX(Curva_Temp[Temp],MATCH(TBL_CalcDarwin[[#This Row],[Darwin Temp.
°C]],Curva_Temp[Temp]))</f>
        <v>15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20</v>
      </c>
      <c r="AB14" s="41" cm="1">
        <f t="array" ref="AB14">INDEX(Curva_Temp[Warranted Power Curve for 
1.194Kg/m3 air density '[kW']
SG 5.0-145 (AM 0, 5.0MW) AT 
90M],MATCH(TBL_CalcDarwin[[#This Row],[Darwin Temp.
°C]],Curva_Temp[Temp])+1)</f>
        <v>5000</v>
      </c>
      <c r="AC14" s="45">
        <f>HLOOKUP(TBL_CalcDarwin[[#This Row],[Fecha]],'Plantilla AEG ES'!$E$1:$HX$13,2,FALSE)</f>
        <v>3</v>
      </c>
      <c r="AD14" s="45">
        <f>HLOOKUP(TBL_CalcDarwin[[#This Row],[Fecha]],'Plantilla AEG ES'!$E$1:$HX$13,3,FALSE)</f>
        <v>5</v>
      </c>
      <c r="AE14" s="45">
        <f>HLOOKUP(TBL_CalcDarwin[[#This Row],[Fecha]],'Plantilla AEG ES'!$E$1:$HX$13,4,FALSE)</f>
        <v>9</v>
      </c>
      <c r="AF14" s="45">
        <f>HLOOKUP(TBL_CalcDarwin[[#This Row],[Fecha]],'Plantilla AEG ES'!$E$1:$HX$13,5,FALSE)</f>
        <v>2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0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3</v>
      </c>
      <c r="AK14" s="46">
        <f>HLOOKUP(TBL_CalcDarwin[[#This Row],[Fecha]],'Plantilla AEG ES'!$E$1:$HX$13,10,FALSE)</f>
        <v>10</v>
      </c>
      <c r="AL14" s="46">
        <f>HLOOKUP(TBL_CalcDarwin[[#This Row],[Fecha]],'Plantilla AEG ES'!$E$1:$HX$13,11,FALSE)</f>
        <v>0</v>
      </c>
      <c r="AM14" s="46">
        <f>HLOOKUP(TBL_CalcDarwin[[#This Row],[Fecha]],'Plantilla AEG ES'!$E$1:$HX$13,12,FALSE)</f>
        <v>5</v>
      </c>
      <c r="AN14" s="46">
        <f>HLOOKUP(TBL_CalcDarwin[[#This Row],[Fecha]],'Plantilla AEG ES'!$E$1:$HX$13,13,FALSE)</f>
        <v>3</v>
      </c>
      <c r="AO14" s="37">
        <f>TBL_CalcDarwin[[#This Row],[Lomitas - Barra A - 5.2 - Cerro]]+TBL_CalcDarwin[[#This Row],[Lomitas - Barra A - 5.2 - Medio]]+TBL_CalcDarwin[[#This Row],[Lomitas - Barra A - 5.2 - Mar]]</f>
        <v>17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43.981999999999999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56.274000000000001</v>
      </c>
      <c r="AS14" s="37">
        <f>TBL_CalcDarwin[[#This Row],[Expansión - Barra A - 5.2 - Cerro]]+TBL_CalcDarwin[[#This Row],[Expansión - Barra A - 5.2 - Medio]]+TBL_CalcDarwin[[#This Row],[Expansión - Barra A - 5.2 - Mar]]</f>
        <v>3</v>
      </c>
      <c r="AT14" s="37">
        <f>TBL_CalcDarwin[[#This Row],[Expansión - Barra B - 5.2 - Cerro]]</f>
        <v>3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4" s="29">
        <f>TBL_CalcDarwin[[#This Row],[Expansión - Barra B - 5.2 - Cerro]]*TBL_CalcDarwin[[#This Row],[AEG 5.2 MW Cerro]]</f>
        <v>3.798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45444.541666666642</v>
      </c>
      <c r="C15" s="17">
        <f t="shared" si="1"/>
        <v>0.54166666666666663</v>
      </c>
      <c r="D15" s="34">
        <f>TBL_CalcDarwin[[#This Row],[Darwin PLOM
MW]]+TBL_CalcDarwin[[#This Row],[Darwin PLOME
MW]]</f>
        <v>126.44500000000001</v>
      </c>
      <c r="E15" s="34">
        <f>TBL_CalcDarwin[[#This Row],[PLOM MW TOTAL BARRA A]]+TBL_CalcDarwin[[#This Row],[PLOM MW TOTAL BARRA B]]</f>
        <v>116.051</v>
      </c>
      <c r="F15" s="34">
        <f>TBL_CalcDarwin[[#This Row],[PLOME MW TOTAL BARRA A]]+TBL_CalcDarwin[[#This Row],[PLOME MW TOTAL BARRA B]]</f>
        <v>10.394</v>
      </c>
      <c r="G15" s="48">
        <f>'Plantilla Datos'!D20</f>
        <v>6.9</v>
      </c>
      <c r="H15" s="48">
        <f>'Plantilla Datos'!E20</f>
        <v>9.1999999999999993</v>
      </c>
      <c r="I15" s="49">
        <f>'Plantilla Datos'!F20</f>
        <v>19.399999999999999</v>
      </c>
      <c r="J15" s="47">
        <f>CEILING('Plantilla Datos'!$L$3*TBL_CalcDarwin[[#This Row],[Darwin Gusts
m/s]],0.5)</f>
        <v>7</v>
      </c>
      <c r="K15" s="47">
        <f>CEILING('Plantilla Datos'!$L$4*TBL_CalcDarwin[[#This Row],[Darwin Gusts
m/s]],0.5)</f>
        <v>8</v>
      </c>
      <c r="L15" s="47">
        <f>CEILING(TBL_CalcDarwin[[#This Row],[Darwin Gusts
m/s]],0.5)</f>
        <v>9.5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5" s="41">
        <f>INDEX(Curva_Temp[Temp],MATCH(TBL_CalcDarwin[[#This Row],[Darwin Temp.
°C]],Curva_Temp[Temp]))</f>
        <v>15</v>
      </c>
      <c r="R15" s="41">
        <f>INDEX(Curva_Temp[Warranted Power Curve for 
1.194Kg/m3 air density '[kW']
SG 5.0-145 (AM+1, 5.2MW) AT 
90M],MATCH(TBL_CalcDarwin[[#This Row],[Darwin Temp.
°C]],Curva_Temp[Temp]))</f>
        <v>5200</v>
      </c>
      <c r="S15" s="41" cm="1">
        <f t="array" ref="S15">INDEX(Curva_Temp[Temp],MATCH(TBL_CalcDarwin[[#This Row],[Darwin Temp.
°C]],Curva_Temp[Temp])+1)</f>
        <v>20</v>
      </c>
      <c r="T15" s="41" cm="1">
        <f t="array" ref="T15">INDEX(Curva_Temp[Warranted Power Curve for 
1.194Kg/m3 air density '[kW']
SG 5.0-145 (AM+1, 5.2MW) AT 
90M],MATCH(TBL_CalcDarwin[[#This Row],[Darwin Temp.
°C]],Curva_Temp[Temp])+1)</f>
        <v>5000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5" s="41">
        <f>INDEX(Curva_Temp[Temp],MATCH(TBL_CalcDarwin[[#This Row],[Darwin Temp.
°C]],Curva_Temp[Temp]))</f>
        <v>15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20</v>
      </c>
      <c r="AB15" s="41" cm="1">
        <f t="array" ref="AB15">INDEX(Curva_Temp[Warranted Power Curve for 
1.194Kg/m3 air density '[kW']
SG 5.0-145 (AM 0, 5.0MW) AT 
90M],MATCH(TBL_CalcDarwin[[#This Row],[Darwin Temp.
°C]],Curva_Temp[Temp])+1)</f>
        <v>5000</v>
      </c>
      <c r="AC15" s="45">
        <f>HLOOKUP(TBL_CalcDarwin[[#This Row],[Fecha]],'Plantilla AEG ES'!$E$1:$HX$13,2,FALSE)</f>
        <v>3</v>
      </c>
      <c r="AD15" s="45">
        <f>HLOOKUP(TBL_CalcDarwin[[#This Row],[Fecha]],'Plantilla AEG ES'!$E$1:$HX$13,3,FALSE)</f>
        <v>5</v>
      </c>
      <c r="AE15" s="45">
        <f>HLOOKUP(TBL_CalcDarwin[[#This Row],[Fecha]],'Plantilla AEG ES'!$E$1:$HX$13,4,FALSE)</f>
        <v>9</v>
      </c>
      <c r="AF15" s="45">
        <f>HLOOKUP(TBL_CalcDarwin[[#This Row],[Fecha]],'Plantilla AEG ES'!$E$1:$HX$13,5,FALSE)</f>
        <v>2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0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3</v>
      </c>
      <c r="AK15" s="46">
        <f>HLOOKUP(TBL_CalcDarwin[[#This Row],[Fecha]],'Plantilla AEG ES'!$E$1:$HX$13,10,FALSE)</f>
        <v>10</v>
      </c>
      <c r="AL15" s="46">
        <f>HLOOKUP(TBL_CalcDarwin[[#This Row],[Fecha]],'Plantilla AEG ES'!$E$1:$HX$13,11,FALSE)</f>
        <v>0</v>
      </c>
      <c r="AM15" s="46">
        <f>HLOOKUP(TBL_CalcDarwin[[#This Row],[Fecha]],'Plantilla AEG ES'!$E$1:$HX$13,12,FALSE)</f>
        <v>5</v>
      </c>
      <c r="AN15" s="46">
        <f>HLOOKUP(TBL_CalcDarwin[[#This Row],[Fecha]],'Plantilla AEG ES'!$E$1:$HX$13,13,FALSE)</f>
        <v>3</v>
      </c>
      <c r="AO15" s="37">
        <f>TBL_CalcDarwin[[#This Row],[Lomitas - Barra A - 5.2 - Cerro]]+TBL_CalcDarwin[[#This Row],[Lomitas - Barra A - 5.2 - Medio]]+TBL_CalcDarwin[[#This Row],[Lomitas - Barra A - 5.2 - Mar]]</f>
        <v>17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51.414000000000001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64.637</v>
      </c>
      <c r="AS15" s="37">
        <f>TBL_CalcDarwin[[#This Row],[Expansión - Barra A - 5.2 - Cerro]]+TBL_CalcDarwin[[#This Row],[Expansión - Barra A - 5.2 - Medio]]+TBL_CalcDarwin[[#This Row],[Expansión - Barra A - 5.2 - Mar]]</f>
        <v>3</v>
      </c>
      <c r="AT15" s="37">
        <f>TBL_CalcDarwin[[#This Row],[Expansión - Barra B - 5.2 - Cerro]]</f>
        <v>3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15" s="29">
        <f>TBL_CalcDarwin[[#This Row],[Expansión - Barra B - 5.2 - Cerro]]*TBL_CalcDarwin[[#This Row],[AEG 5.2 MW Cerro]]</f>
        <v>4.7910000000000004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45444.583333333307</v>
      </c>
      <c r="C16" s="17">
        <f t="shared" si="1"/>
        <v>0.58333333333333326</v>
      </c>
      <c r="D16" s="34">
        <f>TBL_CalcDarwin[[#This Row],[Darwin PLOM
MW]]+TBL_CalcDarwin[[#This Row],[Darwin PLOME
MW]]</f>
        <v>130.666</v>
      </c>
      <c r="E16" s="34">
        <f>TBL_CalcDarwin[[#This Row],[PLOM MW TOTAL BARRA A]]+TBL_CalcDarwin[[#This Row],[PLOM MW TOTAL BARRA B]]</f>
        <v>119.80300000000001</v>
      </c>
      <c r="F16" s="34">
        <f>TBL_CalcDarwin[[#This Row],[PLOME MW TOTAL BARRA A]]+TBL_CalcDarwin[[#This Row],[PLOME MW TOTAL BARRA B]]</f>
        <v>10.863</v>
      </c>
      <c r="G16" s="48">
        <f>'Plantilla Datos'!D21</f>
        <v>7</v>
      </c>
      <c r="H16" s="48">
        <f>'Plantilla Datos'!E21</f>
        <v>9.4</v>
      </c>
      <c r="I16" s="49">
        <f>'Plantilla Datos'!F21</f>
        <v>19.5</v>
      </c>
      <c r="J16" s="47">
        <f>CEILING('Plantilla Datos'!$L$3*TBL_CalcDarwin[[#This Row],[Darwin Gusts
m/s]],0.5)</f>
        <v>7</v>
      </c>
      <c r="K16" s="47">
        <f>CEILING('Plantilla Datos'!$L$4*TBL_CalcDarwin[[#This Row],[Darwin Gusts
m/s]],0.5)</f>
        <v>8.5</v>
      </c>
      <c r="L16" s="47">
        <f>CEILING(TBL_CalcDarwin[[#This Row],[Darwin Gusts
m/s]],0.5)</f>
        <v>9.5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" s="41">
        <f>INDEX(Curva_Temp[Temp],MATCH(TBL_CalcDarwin[[#This Row],[Darwin Temp.
°C]],Curva_Temp[Temp]))</f>
        <v>15</v>
      </c>
      <c r="R16" s="41">
        <f>INDEX(Curva_Temp[Warranted Power Curve for 
1.194Kg/m3 air density '[kW']
SG 5.0-145 (AM+1, 5.2MW) AT 
90M],MATCH(TBL_CalcDarwin[[#This Row],[Darwin Temp.
°C]],Curva_Temp[Temp]))</f>
        <v>5200</v>
      </c>
      <c r="S16" s="41" cm="1">
        <f t="array" ref="S16">INDEX(Curva_Temp[Temp],MATCH(TBL_CalcDarwin[[#This Row],[Darwin Temp.
°C]],Curva_Temp[Temp])+1)</f>
        <v>20</v>
      </c>
      <c r="T16" s="41" cm="1">
        <f t="array" ref="T16">INDEX(Curva_Temp[Warranted Power Curve for 
1.194Kg/m3 air density '[kW']
SG 5.0-145 (AM+1, 5.2MW) AT 
90M],MATCH(TBL_CalcDarwin[[#This Row],[Darwin Temp.
°C]],Curva_Temp[Temp])+1)</f>
        <v>5000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" s="41">
        <f>INDEX(Curva_Temp[Temp],MATCH(TBL_CalcDarwin[[#This Row],[Darwin Temp.
°C]],Curva_Temp[Temp]))</f>
        <v>15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20</v>
      </c>
      <c r="AB16" s="41" cm="1">
        <f t="array" ref="AB16">INDEX(Curva_Temp[Warranted Power Curve for 
1.194Kg/m3 air density '[kW']
SG 5.0-145 (AM 0, 5.0MW) AT 
90M],MATCH(TBL_CalcDarwin[[#This Row],[Darwin Temp.
°C]],Curva_Temp[Temp])+1)</f>
        <v>5000</v>
      </c>
      <c r="AC16" s="45">
        <f>HLOOKUP(TBL_CalcDarwin[[#This Row],[Fecha]],'Plantilla AEG ES'!$E$1:$HX$13,2,FALSE)</f>
        <v>3</v>
      </c>
      <c r="AD16" s="45">
        <f>HLOOKUP(TBL_CalcDarwin[[#This Row],[Fecha]],'Plantilla AEG ES'!$E$1:$HX$13,3,FALSE)</f>
        <v>5</v>
      </c>
      <c r="AE16" s="45">
        <f>HLOOKUP(TBL_CalcDarwin[[#This Row],[Fecha]],'Plantilla AEG ES'!$E$1:$HX$13,4,FALSE)</f>
        <v>9</v>
      </c>
      <c r="AF16" s="45">
        <f>HLOOKUP(TBL_CalcDarwin[[#This Row],[Fecha]],'Plantilla AEG ES'!$E$1:$HX$13,5,FALSE)</f>
        <v>2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0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3</v>
      </c>
      <c r="AK16" s="46">
        <f>HLOOKUP(TBL_CalcDarwin[[#This Row],[Fecha]],'Plantilla AEG ES'!$E$1:$HX$13,10,FALSE)</f>
        <v>10</v>
      </c>
      <c r="AL16" s="46">
        <f>HLOOKUP(TBL_CalcDarwin[[#This Row],[Fecha]],'Plantilla AEG ES'!$E$1:$HX$13,11,FALSE)</f>
        <v>0</v>
      </c>
      <c r="AM16" s="46">
        <f>HLOOKUP(TBL_CalcDarwin[[#This Row],[Fecha]],'Plantilla AEG ES'!$E$1:$HX$13,12,FALSE)</f>
        <v>5</v>
      </c>
      <c r="AN16" s="46">
        <f>HLOOKUP(TBL_CalcDarwin[[#This Row],[Fecha]],'Plantilla AEG ES'!$E$1:$HX$13,13,FALSE)</f>
        <v>3</v>
      </c>
      <c r="AO16" s="37">
        <f>TBL_CalcDarwin[[#This Row],[Lomitas - Barra A - 5.2 - Cerro]]+TBL_CalcDarwin[[#This Row],[Lomitas - Barra A - 5.2 - Medio]]+TBL_CalcDarwin[[#This Row],[Lomitas - Barra A - 5.2 - Mar]]</f>
        <v>17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53.759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66.044000000000011</v>
      </c>
      <c r="AS16" s="37">
        <f>TBL_CalcDarwin[[#This Row],[Expansión - Barra A - 5.2 - Cerro]]+TBL_CalcDarwin[[#This Row],[Expansión - Barra A - 5.2 - Medio]]+TBL_CalcDarwin[[#This Row],[Expansión - Barra A - 5.2 - Mar]]</f>
        <v>3</v>
      </c>
      <c r="AT16" s="37">
        <f>TBL_CalcDarwin[[#This Row],[Expansión - Barra B - 5.2 - Cerro]]</f>
        <v>3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16" s="29">
        <f>TBL_CalcDarwin[[#This Row],[Expansión - Barra B - 5.2 - Cerro]]*TBL_CalcDarwin[[#This Row],[AEG 5.2 MW Cerro]]</f>
        <v>4.7910000000000004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45444.624999999971</v>
      </c>
      <c r="C17" s="17">
        <f t="shared" si="1"/>
        <v>0.62499999999999989</v>
      </c>
      <c r="D17" s="34">
        <f>TBL_CalcDarwin[[#This Row],[Darwin PLOM
MW]]+TBL_CalcDarwin[[#This Row],[Darwin PLOME
MW]]</f>
        <v>126.44500000000001</v>
      </c>
      <c r="E17" s="34">
        <f>TBL_CalcDarwin[[#This Row],[PLOM MW TOTAL BARRA A]]+TBL_CalcDarwin[[#This Row],[PLOM MW TOTAL BARRA B]]</f>
        <v>116.051</v>
      </c>
      <c r="F17" s="34">
        <f>TBL_CalcDarwin[[#This Row],[PLOME MW TOTAL BARRA A]]+TBL_CalcDarwin[[#This Row],[PLOME MW TOTAL BARRA B]]</f>
        <v>10.394</v>
      </c>
      <c r="G17" s="48">
        <f>'Plantilla Datos'!D22</f>
        <v>6.9</v>
      </c>
      <c r="H17" s="48">
        <f>'Plantilla Datos'!E22</f>
        <v>9.1999999999999993</v>
      </c>
      <c r="I17" s="49">
        <f>'Plantilla Datos'!F22</f>
        <v>19.399999999999999</v>
      </c>
      <c r="J17" s="47">
        <f>CEILING('Plantilla Datos'!$L$3*TBL_CalcDarwin[[#This Row],[Darwin Gusts
m/s]],0.5)</f>
        <v>7</v>
      </c>
      <c r="K17" s="47">
        <f>CEILING('Plantilla Datos'!$L$4*TBL_CalcDarwin[[#This Row],[Darwin Gusts
m/s]],0.5)</f>
        <v>8</v>
      </c>
      <c r="L17" s="47">
        <f>CEILING(TBL_CalcDarwin[[#This Row],[Darwin Gusts
m/s]],0.5)</f>
        <v>9.5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7" s="41">
        <f>INDEX(Curva_Temp[Temp],MATCH(TBL_CalcDarwin[[#This Row],[Darwin Temp.
°C]],Curva_Temp[Temp]))</f>
        <v>15</v>
      </c>
      <c r="R17" s="41">
        <f>INDEX(Curva_Temp[Warranted Power Curve for 
1.194Kg/m3 air density '[kW']
SG 5.0-145 (AM+1, 5.2MW) AT 
90M],MATCH(TBL_CalcDarwin[[#This Row],[Darwin Temp.
°C]],Curva_Temp[Temp]))</f>
        <v>5200</v>
      </c>
      <c r="S17" s="41" cm="1">
        <f t="array" ref="S17">INDEX(Curva_Temp[Temp],MATCH(TBL_CalcDarwin[[#This Row],[Darwin Temp.
°C]],Curva_Temp[Temp])+1)</f>
        <v>20</v>
      </c>
      <c r="T17" s="41" cm="1">
        <f t="array" ref="T17">INDEX(Curva_Temp[Warranted Power Curve for 
1.194Kg/m3 air density '[kW']
SG 5.0-145 (AM+1, 5.2MW) AT 
90M],MATCH(TBL_CalcDarwin[[#This Row],[Darwin Temp.
°C]],Curva_Temp[Temp])+1)</f>
        <v>5000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7" s="41">
        <f>INDEX(Curva_Temp[Temp],MATCH(TBL_CalcDarwin[[#This Row],[Darwin Temp.
°C]],Curva_Temp[Temp]))</f>
        <v>15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20</v>
      </c>
      <c r="AB17" s="41" cm="1">
        <f t="array" ref="AB17">INDEX(Curva_Temp[Warranted Power Curve for 
1.194Kg/m3 air density '[kW']
SG 5.0-145 (AM 0, 5.0MW) AT 
90M],MATCH(TBL_CalcDarwin[[#This Row],[Darwin Temp.
°C]],Curva_Temp[Temp])+1)</f>
        <v>5000</v>
      </c>
      <c r="AC17" s="45">
        <f>HLOOKUP(TBL_CalcDarwin[[#This Row],[Fecha]],'Plantilla AEG ES'!$E$1:$HX$13,2,FALSE)</f>
        <v>3</v>
      </c>
      <c r="AD17" s="45">
        <f>HLOOKUP(TBL_CalcDarwin[[#This Row],[Fecha]],'Plantilla AEG ES'!$E$1:$HX$13,3,FALSE)</f>
        <v>5</v>
      </c>
      <c r="AE17" s="45">
        <f>HLOOKUP(TBL_CalcDarwin[[#This Row],[Fecha]],'Plantilla AEG ES'!$E$1:$HX$13,4,FALSE)</f>
        <v>9</v>
      </c>
      <c r="AF17" s="45">
        <f>HLOOKUP(TBL_CalcDarwin[[#This Row],[Fecha]],'Plantilla AEG ES'!$E$1:$HX$13,5,FALSE)</f>
        <v>2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0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3</v>
      </c>
      <c r="AK17" s="46">
        <f>HLOOKUP(TBL_CalcDarwin[[#This Row],[Fecha]],'Plantilla AEG ES'!$E$1:$HX$13,10,FALSE)</f>
        <v>10</v>
      </c>
      <c r="AL17" s="46">
        <f>HLOOKUP(TBL_CalcDarwin[[#This Row],[Fecha]],'Plantilla AEG ES'!$E$1:$HX$13,11,FALSE)</f>
        <v>0</v>
      </c>
      <c r="AM17" s="46">
        <f>HLOOKUP(TBL_CalcDarwin[[#This Row],[Fecha]],'Plantilla AEG ES'!$E$1:$HX$13,12,FALSE)</f>
        <v>5</v>
      </c>
      <c r="AN17" s="46">
        <f>HLOOKUP(TBL_CalcDarwin[[#This Row],[Fecha]],'Plantilla AEG ES'!$E$1:$HX$13,13,FALSE)</f>
        <v>3</v>
      </c>
      <c r="AO17" s="37">
        <f>TBL_CalcDarwin[[#This Row],[Lomitas - Barra A - 5.2 - Cerro]]+TBL_CalcDarwin[[#This Row],[Lomitas - Barra A - 5.2 - Medio]]+TBL_CalcDarwin[[#This Row],[Lomitas - Barra A - 5.2 - Mar]]</f>
        <v>17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51.414000000000001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64.637</v>
      </c>
      <c r="AS17" s="37">
        <f>TBL_CalcDarwin[[#This Row],[Expansión - Barra A - 5.2 - Cerro]]+TBL_CalcDarwin[[#This Row],[Expansión - Barra A - 5.2 - Medio]]+TBL_CalcDarwin[[#This Row],[Expansión - Barra A - 5.2 - Mar]]</f>
        <v>3</v>
      </c>
      <c r="AT17" s="37">
        <f>TBL_CalcDarwin[[#This Row],[Expansión - Barra B - 5.2 - Cerro]]</f>
        <v>3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17" s="29">
        <f>TBL_CalcDarwin[[#This Row],[Expansión - Barra B - 5.2 - Cerro]]*TBL_CalcDarwin[[#This Row],[AEG 5.2 MW Cerro]]</f>
        <v>4.7910000000000004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45444.666666666635</v>
      </c>
      <c r="C18" s="17">
        <f t="shared" si="1"/>
        <v>0.66666666666666652</v>
      </c>
      <c r="D18" s="34">
        <f>TBL_CalcDarwin[[#This Row],[Darwin PLOM
MW]]+TBL_CalcDarwin[[#This Row],[Darwin PLOME
MW]]</f>
        <v>94.643000000000001</v>
      </c>
      <c r="E18" s="34">
        <f>TBL_CalcDarwin[[#This Row],[PLOM MW TOTAL BARRA A]]+TBL_CalcDarwin[[#This Row],[PLOM MW TOTAL BARRA B]]</f>
        <v>87.75</v>
      </c>
      <c r="F18" s="34">
        <f>TBL_CalcDarwin[[#This Row],[PLOME MW TOTAL BARRA A]]+TBL_CalcDarwin[[#This Row],[PLOME MW TOTAL BARRA B]]</f>
        <v>6.8929999999999998</v>
      </c>
      <c r="G18" s="48">
        <f>'Plantilla Datos'!D23</f>
        <v>6.6</v>
      </c>
      <c r="H18" s="48">
        <f>'Plantilla Datos'!E23</f>
        <v>8.3000000000000007</v>
      </c>
      <c r="I18" s="49">
        <f>'Plantilla Datos'!F23</f>
        <v>19.100000000000001</v>
      </c>
      <c r="J18" s="47">
        <f>CEILING('Plantilla Datos'!$L$3*TBL_CalcDarwin[[#This Row],[Darwin Gusts
m/s]],0.5)</f>
        <v>6</v>
      </c>
      <c r="K18" s="47">
        <f>CEILING('Plantilla Datos'!$L$4*TBL_CalcDarwin[[#This Row],[Darwin Gusts
m/s]],0.5)</f>
        <v>7.5</v>
      </c>
      <c r="L18" s="47">
        <f>CEILING(TBL_CalcDarwin[[#This Row],[Darwin Gusts
m/s]],0.5)</f>
        <v>8.5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8" s="41">
        <f>INDEX(Curva_Temp[Temp],MATCH(TBL_CalcDarwin[[#This Row],[Darwin Temp.
°C]],Curva_Temp[Temp]))</f>
        <v>15</v>
      </c>
      <c r="R18" s="41">
        <f>INDEX(Curva_Temp[Warranted Power Curve for 
1.194Kg/m3 air density '[kW']
SG 5.0-145 (AM+1, 5.2MW) AT 
90M],MATCH(TBL_CalcDarwin[[#This Row],[Darwin Temp.
°C]],Curva_Temp[Temp]))</f>
        <v>5200</v>
      </c>
      <c r="S18" s="41" cm="1">
        <f t="array" ref="S18">INDEX(Curva_Temp[Temp],MATCH(TBL_CalcDarwin[[#This Row],[Darwin Temp.
°C]],Curva_Temp[Temp])+1)</f>
        <v>20</v>
      </c>
      <c r="T18" s="41" cm="1">
        <f t="array" ref="T18">INDEX(Curva_Temp[Warranted Power Curve for 
1.194Kg/m3 air density '[kW']
SG 5.0-145 (AM+1, 5.2MW) AT 
90M],MATCH(TBL_CalcDarwin[[#This Row],[Darwin Temp.
°C]],Curva_Temp[Temp])+1)</f>
        <v>5000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8" s="41">
        <f>INDEX(Curva_Temp[Temp],MATCH(TBL_CalcDarwin[[#This Row],[Darwin Temp.
°C]],Curva_Temp[Temp]))</f>
        <v>15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20</v>
      </c>
      <c r="AB18" s="41" cm="1">
        <f t="array" ref="AB18">INDEX(Curva_Temp[Warranted Power Curve for 
1.194Kg/m3 air density '[kW']
SG 5.0-145 (AM 0, 5.0MW) AT 
90M],MATCH(TBL_CalcDarwin[[#This Row],[Darwin Temp.
°C]],Curva_Temp[Temp])+1)</f>
        <v>5000</v>
      </c>
      <c r="AC18" s="45">
        <f>HLOOKUP(TBL_CalcDarwin[[#This Row],[Fecha]],'Plantilla AEG ES'!$E$1:$HX$13,2,FALSE)</f>
        <v>3</v>
      </c>
      <c r="AD18" s="45">
        <f>HLOOKUP(TBL_CalcDarwin[[#This Row],[Fecha]],'Plantilla AEG ES'!$E$1:$HX$13,3,FALSE)</f>
        <v>5</v>
      </c>
      <c r="AE18" s="45">
        <f>HLOOKUP(TBL_CalcDarwin[[#This Row],[Fecha]],'Plantilla AEG ES'!$E$1:$HX$13,4,FALSE)</f>
        <v>9</v>
      </c>
      <c r="AF18" s="45">
        <f>HLOOKUP(TBL_CalcDarwin[[#This Row],[Fecha]],'Plantilla AEG ES'!$E$1:$HX$13,5,FALSE)</f>
        <v>2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0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3</v>
      </c>
      <c r="AK18" s="46">
        <f>HLOOKUP(TBL_CalcDarwin[[#This Row],[Fecha]],'Plantilla AEG ES'!$E$1:$HX$13,10,FALSE)</f>
        <v>10</v>
      </c>
      <c r="AL18" s="46">
        <f>HLOOKUP(TBL_CalcDarwin[[#This Row],[Fecha]],'Plantilla AEG ES'!$E$1:$HX$13,11,FALSE)</f>
        <v>0</v>
      </c>
      <c r="AM18" s="46">
        <f>HLOOKUP(TBL_CalcDarwin[[#This Row],[Fecha]],'Plantilla AEG ES'!$E$1:$HX$13,12,FALSE)</f>
        <v>5</v>
      </c>
      <c r="AN18" s="46">
        <f>HLOOKUP(TBL_CalcDarwin[[#This Row],[Fecha]],'Plantilla AEG ES'!$E$1:$HX$13,13,FALSE)</f>
        <v>3</v>
      </c>
      <c r="AO18" s="37">
        <f>TBL_CalcDarwin[[#This Row],[Lomitas - Barra A - 5.2 - Cerro]]+TBL_CalcDarwin[[#This Row],[Lomitas - Barra A - 5.2 - Medio]]+TBL_CalcDarwin[[#This Row],[Lomitas - Barra A - 5.2 - Mar]]</f>
        <v>17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38.741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49.009</v>
      </c>
      <c r="AS18" s="37">
        <f>TBL_CalcDarwin[[#This Row],[Expansión - Barra A - 5.2 - Cerro]]+TBL_CalcDarwin[[#This Row],[Expansión - Barra A - 5.2 - Medio]]+TBL_CalcDarwin[[#This Row],[Expansión - Barra A - 5.2 - Mar]]</f>
        <v>3</v>
      </c>
      <c r="AT18" s="37">
        <f>TBL_CalcDarwin[[#This Row],[Expansión - Barra B - 5.2 - Cerro]]</f>
        <v>3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3.944</v>
      </c>
      <c r="AV18" s="29">
        <f>TBL_CalcDarwin[[#This Row],[Expansión - Barra B - 5.2 - Cerro]]*TBL_CalcDarwin[[#This Row],[AEG 5.2 MW Cerro]]</f>
        <v>2.9489999999999998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45444.708333333299</v>
      </c>
      <c r="C19" s="17">
        <f t="shared" si="1"/>
        <v>0.70833333333333315</v>
      </c>
      <c r="D19" s="34">
        <f>TBL_CalcDarwin[[#This Row],[Darwin PLOM
MW]]+TBL_CalcDarwin[[#This Row],[Darwin PLOME
MW]]</f>
        <v>64.801000000000002</v>
      </c>
      <c r="E19" s="34">
        <f>TBL_CalcDarwin[[#This Row],[PLOM MW TOTAL BARRA A]]+TBL_CalcDarwin[[#This Row],[PLOM MW TOTAL BARRA B]]</f>
        <v>59.81</v>
      </c>
      <c r="F19" s="34">
        <f>TBL_CalcDarwin[[#This Row],[PLOME MW TOTAL BARRA A]]+TBL_CalcDarwin[[#This Row],[PLOME MW TOTAL BARRA B]]</f>
        <v>4.9909999999999997</v>
      </c>
      <c r="G19" s="48">
        <f>'Plantilla Datos'!D24</f>
        <v>5.8</v>
      </c>
      <c r="H19" s="48">
        <f>'Plantilla Datos'!E24</f>
        <v>7.4</v>
      </c>
      <c r="I19" s="49">
        <f>'Plantilla Datos'!F24</f>
        <v>18.5</v>
      </c>
      <c r="J19" s="47">
        <f>CEILING('Plantilla Datos'!$L$3*TBL_CalcDarwin[[#This Row],[Darwin Gusts
m/s]],0.5)</f>
        <v>5.5</v>
      </c>
      <c r="K19" s="47">
        <f>CEILING('Plantilla Datos'!$L$4*TBL_CalcDarwin[[#This Row],[Darwin Gusts
m/s]],0.5)</f>
        <v>6.5</v>
      </c>
      <c r="L19" s="47">
        <f>CEILING(TBL_CalcDarwin[[#This Row],[Darwin Gusts
m/s]],0.5)</f>
        <v>7.5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9" s="41">
        <f>INDEX(Curva_Temp[Temp],MATCH(TBL_CalcDarwin[[#This Row],[Darwin Temp.
°C]],Curva_Temp[Temp]))</f>
        <v>15</v>
      </c>
      <c r="R19" s="41">
        <f>INDEX(Curva_Temp[Warranted Power Curve for 
1.194Kg/m3 air density '[kW']
SG 5.0-145 (AM+1, 5.2MW) AT 
90M],MATCH(TBL_CalcDarwin[[#This Row],[Darwin Temp.
°C]],Curva_Temp[Temp]))</f>
        <v>5200</v>
      </c>
      <c r="S19" s="41" cm="1">
        <f t="array" ref="S19">INDEX(Curva_Temp[Temp],MATCH(TBL_CalcDarwin[[#This Row],[Darwin Temp.
°C]],Curva_Temp[Temp])+1)</f>
        <v>20</v>
      </c>
      <c r="T19" s="41" cm="1">
        <f t="array" ref="T19">INDEX(Curva_Temp[Warranted Power Curve for 
1.194Kg/m3 air density '[kW']
SG 5.0-145 (AM+1, 5.2MW) AT 
90M],MATCH(TBL_CalcDarwin[[#This Row],[Darwin Temp.
°C]],Curva_Temp[Temp])+1)</f>
        <v>5000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9" s="41">
        <f>INDEX(Curva_Temp[Temp],MATCH(TBL_CalcDarwin[[#This Row],[Darwin Temp.
°C]],Curva_Temp[Temp]))</f>
        <v>15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20</v>
      </c>
      <c r="AB19" s="41" cm="1">
        <f t="array" ref="AB19">INDEX(Curva_Temp[Warranted Power Curve for 
1.194Kg/m3 air density '[kW']
SG 5.0-145 (AM 0, 5.0MW) AT 
90M],MATCH(TBL_CalcDarwin[[#This Row],[Darwin Temp.
°C]],Curva_Temp[Temp])+1)</f>
        <v>5000</v>
      </c>
      <c r="AC19" s="45">
        <f>HLOOKUP(TBL_CalcDarwin[[#This Row],[Fecha]],'Plantilla AEG ES'!$E$1:$HX$13,2,FALSE)</f>
        <v>3</v>
      </c>
      <c r="AD19" s="45">
        <f>HLOOKUP(TBL_CalcDarwin[[#This Row],[Fecha]],'Plantilla AEG ES'!$E$1:$HX$13,3,FALSE)</f>
        <v>5</v>
      </c>
      <c r="AE19" s="45">
        <f>HLOOKUP(TBL_CalcDarwin[[#This Row],[Fecha]],'Plantilla AEG ES'!$E$1:$HX$13,4,FALSE)</f>
        <v>9</v>
      </c>
      <c r="AF19" s="45">
        <f>HLOOKUP(TBL_CalcDarwin[[#This Row],[Fecha]],'Plantilla AEG ES'!$E$1:$HX$13,5,FALSE)</f>
        <v>2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0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3</v>
      </c>
      <c r="AK19" s="46">
        <f>HLOOKUP(TBL_CalcDarwin[[#This Row],[Fecha]],'Plantilla AEG ES'!$E$1:$HX$13,10,FALSE)</f>
        <v>10</v>
      </c>
      <c r="AL19" s="46">
        <f>HLOOKUP(TBL_CalcDarwin[[#This Row],[Fecha]],'Plantilla AEG ES'!$E$1:$HX$13,11,FALSE)</f>
        <v>0</v>
      </c>
      <c r="AM19" s="46">
        <f>HLOOKUP(TBL_CalcDarwin[[#This Row],[Fecha]],'Plantilla AEG ES'!$E$1:$HX$13,12,FALSE)</f>
        <v>5</v>
      </c>
      <c r="AN19" s="46">
        <f>HLOOKUP(TBL_CalcDarwin[[#This Row],[Fecha]],'Plantilla AEG ES'!$E$1:$HX$13,13,FALSE)</f>
        <v>3</v>
      </c>
      <c r="AO19" s="37">
        <f>TBL_CalcDarwin[[#This Row],[Lomitas - Barra A - 5.2 - Cerro]]+TBL_CalcDarwin[[#This Row],[Lomitas - Barra A - 5.2 - Medio]]+TBL_CalcDarwin[[#This Row],[Lomitas - Barra A - 5.2 - Mar]]</f>
        <v>17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26.366999999999997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33.443000000000005</v>
      </c>
      <c r="AS19" s="37">
        <f>TBL_CalcDarwin[[#This Row],[Expansión - Barra A - 5.2 - Cerro]]+TBL_CalcDarwin[[#This Row],[Expansión - Barra A - 5.2 - Medio]]+TBL_CalcDarwin[[#This Row],[Expansión - Barra A - 5.2 - Mar]]</f>
        <v>3</v>
      </c>
      <c r="AT19" s="37">
        <f>TBL_CalcDarwin[[#This Row],[Expansión - Barra B - 5.2 - Cerro]]</f>
        <v>3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9" s="29">
        <f>TBL_CalcDarwin[[#This Row],[Expansión - Barra B - 5.2 - Cerro]]*TBL_CalcDarwin[[#This Row],[AEG 5.2 MW Cerro]]</f>
        <v>2.2349999999999999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45444.749999999964</v>
      </c>
      <c r="C20" s="17">
        <f t="shared" si="1"/>
        <v>0.74999999999999978</v>
      </c>
      <c r="D20" s="34">
        <f>TBL_CalcDarwin[[#This Row],[Darwin PLOM
MW]]+TBL_CalcDarwin[[#This Row],[Darwin PLOME
MW]]</f>
        <v>33.347999999999999</v>
      </c>
      <c r="E20" s="34">
        <f>TBL_CalcDarwin[[#This Row],[PLOM MW TOTAL BARRA A]]+TBL_CalcDarwin[[#This Row],[PLOM MW TOTAL BARRA B]]</f>
        <v>30.693000000000001</v>
      </c>
      <c r="F20" s="34">
        <f>TBL_CalcDarwin[[#This Row],[PLOME MW TOTAL BARRA A]]+TBL_CalcDarwin[[#This Row],[PLOME MW TOTAL BARRA B]]</f>
        <v>2.6549999999999998</v>
      </c>
      <c r="G20" s="48">
        <f>'Plantilla Datos'!D25</f>
        <v>4.7</v>
      </c>
      <c r="H20" s="48">
        <f>'Plantilla Datos'!E25</f>
        <v>6</v>
      </c>
      <c r="I20" s="49">
        <f>'Plantilla Datos'!F25</f>
        <v>17.600000000000001</v>
      </c>
      <c r="J20" s="47">
        <f>CEILING('Plantilla Datos'!$L$3*TBL_CalcDarwin[[#This Row],[Darwin Gusts
m/s]],0.5)</f>
        <v>4.5</v>
      </c>
      <c r="K20" s="47">
        <f>CEILING('Plantilla Datos'!$L$4*TBL_CalcDarwin[[#This Row],[Darwin Gusts
m/s]],0.5)</f>
        <v>5.5</v>
      </c>
      <c r="L20" s="47">
        <f>CEILING(TBL_CalcDarwin[[#This Row],[Darwin Gusts
m/s]],0.5)</f>
        <v>6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0" s="41">
        <f>INDEX(Curva_Temp[Temp],MATCH(TBL_CalcDarwin[[#This Row],[Darwin Temp.
°C]],Curva_Temp[Temp]))</f>
        <v>15</v>
      </c>
      <c r="R20" s="41">
        <f>INDEX(Curva_Temp[Warranted Power Curve for 
1.194Kg/m3 air density '[kW']
SG 5.0-145 (AM+1, 5.2MW) AT 
90M],MATCH(TBL_CalcDarwin[[#This Row],[Darwin Temp.
°C]],Curva_Temp[Temp]))</f>
        <v>5200</v>
      </c>
      <c r="S20" s="41" cm="1">
        <f t="array" ref="S20">INDEX(Curva_Temp[Temp],MATCH(TBL_CalcDarwin[[#This Row],[Darwin Temp.
°C]],Curva_Temp[Temp])+1)</f>
        <v>20</v>
      </c>
      <c r="T20" s="41" cm="1">
        <f t="array" ref="T20">INDEX(Curva_Temp[Warranted Power Curve for 
1.194Kg/m3 air density '[kW']
SG 5.0-145 (AM+1, 5.2MW) AT 
90M],MATCH(TBL_CalcDarwin[[#This Row],[Darwin Temp.
°C]],Curva_Temp[Temp])+1)</f>
        <v>5000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0" s="41">
        <f>INDEX(Curva_Temp[Temp],MATCH(TBL_CalcDarwin[[#This Row],[Darwin Temp.
°C]],Curva_Temp[Temp]))</f>
        <v>15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20</v>
      </c>
      <c r="AB20" s="41" cm="1">
        <f t="array" ref="AB20">INDEX(Curva_Temp[Warranted Power Curve for 
1.194Kg/m3 air density '[kW']
SG 5.0-145 (AM 0, 5.0MW) AT 
90M],MATCH(TBL_CalcDarwin[[#This Row],[Darwin Temp.
°C]],Curva_Temp[Temp])+1)</f>
        <v>5000</v>
      </c>
      <c r="AC20" s="45">
        <f>HLOOKUP(TBL_CalcDarwin[[#This Row],[Fecha]],'Plantilla AEG ES'!$E$1:$HX$13,2,FALSE)</f>
        <v>3</v>
      </c>
      <c r="AD20" s="45">
        <f>HLOOKUP(TBL_CalcDarwin[[#This Row],[Fecha]],'Plantilla AEG ES'!$E$1:$HX$13,3,FALSE)</f>
        <v>5</v>
      </c>
      <c r="AE20" s="45">
        <f>HLOOKUP(TBL_CalcDarwin[[#This Row],[Fecha]],'Plantilla AEG ES'!$E$1:$HX$13,4,FALSE)</f>
        <v>9</v>
      </c>
      <c r="AF20" s="45">
        <f>HLOOKUP(TBL_CalcDarwin[[#This Row],[Fecha]],'Plantilla AEG ES'!$E$1:$HX$13,5,FALSE)</f>
        <v>2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0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3</v>
      </c>
      <c r="AK20" s="46">
        <f>HLOOKUP(TBL_CalcDarwin[[#This Row],[Fecha]],'Plantilla AEG ES'!$E$1:$HX$13,10,FALSE)</f>
        <v>10</v>
      </c>
      <c r="AL20" s="46">
        <f>HLOOKUP(TBL_CalcDarwin[[#This Row],[Fecha]],'Plantilla AEG ES'!$E$1:$HX$13,11,FALSE)</f>
        <v>0</v>
      </c>
      <c r="AM20" s="46">
        <f>HLOOKUP(TBL_CalcDarwin[[#This Row],[Fecha]],'Plantilla AEG ES'!$E$1:$HX$13,12,FALSE)</f>
        <v>5</v>
      </c>
      <c r="AN20" s="46">
        <f>HLOOKUP(TBL_CalcDarwin[[#This Row],[Fecha]],'Plantilla AEG ES'!$E$1:$HX$13,13,FALSE)</f>
        <v>3</v>
      </c>
      <c r="AO20" s="37">
        <f>TBL_CalcDarwin[[#This Row],[Lomitas - Barra A - 5.2 - Cerro]]+TBL_CalcDarwin[[#This Row],[Lomitas - Barra A - 5.2 - Medio]]+TBL_CalcDarwin[[#This Row],[Lomitas - Barra A - 5.2 - Mar]]</f>
        <v>17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13.718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16.975000000000001</v>
      </c>
      <c r="AS20" s="37">
        <f>TBL_CalcDarwin[[#This Row],[Expansión - Barra A - 5.2 - Cerro]]+TBL_CalcDarwin[[#This Row],[Expansión - Barra A - 5.2 - Medio]]+TBL_CalcDarwin[[#This Row],[Expansión - Barra A - 5.2 - Mar]]</f>
        <v>3</v>
      </c>
      <c r="AT20" s="37">
        <f>TBL_CalcDarwin[[#This Row],[Expansión - Barra B - 5.2 - Cerro]]</f>
        <v>3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20" s="29">
        <f>TBL_CalcDarwin[[#This Row],[Expansión - Barra B - 5.2 - Cerro]]*TBL_CalcDarwin[[#This Row],[AEG 5.2 MW Cerro]]</f>
        <v>1.1459999999999999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45444.791666666628</v>
      </c>
      <c r="C21" s="17">
        <f t="shared" si="1"/>
        <v>0.79166666666666641</v>
      </c>
      <c r="D21" s="34">
        <f>TBL_CalcDarwin[[#This Row],[Darwin PLOM
MW]]+TBL_CalcDarwin[[#This Row],[Darwin PLOME
MW]]</f>
        <v>33.347999999999999</v>
      </c>
      <c r="E21" s="34">
        <f>TBL_CalcDarwin[[#This Row],[PLOM MW TOTAL BARRA A]]+TBL_CalcDarwin[[#This Row],[PLOM MW TOTAL BARRA B]]</f>
        <v>30.693000000000001</v>
      </c>
      <c r="F21" s="34">
        <f>TBL_CalcDarwin[[#This Row],[PLOME MW TOTAL BARRA A]]+TBL_CalcDarwin[[#This Row],[PLOME MW TOTAL BARRA B]]</f>
        <v>2.6549999999999998</v>
      </c>
      <c r="G21" s="48">
        <f>'Plantilla Datos'!D26</f>
        <v>4.5999999999999996</v>
      </c>
      <c r="H21" s="48">
        <f>'Plantilla Datos'!E26</f>
        <v>5.9</v>
      </c>
      <c r="I21" s="49">
        <f>'Plantilla Datos'!F26</f>
        <v>17</v>
      </c>
      <c r="J21" s="47">
        <f>CEILING('Plantilla Datos'!$L$3*TBL_CalcDarwin[[#This Row],[Darwin Gusts
m/s]],0.5)</f>
        <v>4.5</v>
      </c>
      <c r="K21" s="47">
        <f>CEILING('Plantilla Datos'!$L$4*TBL_CalcDarwin[[#This Row],[Darwin Gusts
m/s]],0.5)</f>
        <v>5.5</v>
      </c>
      <c r="L21" s="47">
        <f>CEILING(TBL_CalcDarwin[[#This Row],[Darwin Gusts
m/s]],0.5)</f>
        <v>6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1" s="41">
        <f>INDEX(Curva_Temp[Temp],MATCH(TBL_CalcDarwin[[#This Row],[Darwin Temp.
°C]],Curva_Temp[Temp]))</f>
        <v>15</v>
      </c>
      <c r="R21" s="41">
        <f>INDEX(Curva_Temp[Warranted Power Curve for 
1.194Kg/m3 air density '[kW']
SG 5.0-145 (AM+1, 5.2MW) AT 
90M],MATCH(TBL_CalcDarwin[[#This Row],[Darwin Temp.
°C]],Curva_Temp[Temp]))</f>
        <v>5200</v>
      </c>
      <c r="S21" s="41" cm="1">
        <f t="array" ref="S21">INDEX(Curva_Temp[Temp],MATCH(TBL_CalcDarwin[[#This Row],[Darwin Temp.
°C]],Curva_Temp[Temp])+1)</f>
        <v>20</v>
      </c>
      <c r="T21" s="41" cm="1">
        <f t="array" ref="T21">INDEX(Curva_Temp[Warranted Power Curve for 
1.194Kg/m3 air density '[kW']
SG 5.0-145 (AM+1, 5.2MW) AT 
90M],MATCH(TBL_CalcDarwin[[#This Row],[Darwin Temp.
°C]],Curva_Temp[Temp])+1)</f>
        <v>5000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1" s="41">
        <f>INDEX(Curva_Temp[Temp],MATCH(TBL_CalcDarwin[[#This Row],[Darwin Temp.
°C]],Curva_Temp[Temp]))</f>
        <v>15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20</v>
      </c>
      <c r="AB21" s="41" cm="1">
        <f t="array" ref="AB21">INDEX(Curva_Temp[Warranted Power Curve for 
1.194Kg/m3 air density '[kW']
SG 5.0-145 (AM 0, 5.0MW) AT 
90M],MATCH(TBL_CalcDarwin[[#This Row],[Darwin Temp.
°C]],Curva_Temp[Temp])+1)</f>
        <v>5000</v>
      </c>
      <c r="AC21" s="45">
        <f>HLOOKUP(TBL_CalcDarwin[[#This Row],[Fecha]],'Plantilla AEG ES'!$E$1:$HX$13,2,FALSE)</f>
        <v>3</v>
      </c>
      <c r="AD21" s="45">
        <f>HLOOKUP(TBL_CalcDarwin[[#This Row],[Fecha]],'Plantilla AEG ES'!$E$1:$HX$13,3,FALSE)</f>
        <v>5</v>
      </c>
      <c r="AE21" s="45">
        <f>HLOOKUP(TBL_CalcDarwin[[#This Row],[Fecha]],'Plantilla AEG ES'!$E$1:$HX$13,4,FALSE)</f>
        <v>9</v>
      </c>
      <c r="AF21" s="45">
        <f>HLOOKUP(TBL_CalcDarwin[[#This Row],[Fecha]],'Plantilla AEG ES'!$E$1:$HX$13,5,FALSE)</f>
        <v>2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0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3</v>
      </c>
      <c r="AK21" s="46">
        <f>HLOOKUP(TBL_CalcDarwin[[#This Row],[Fecha]],'Plantilla AEG ES'!$E$1:$HX$13,10,FALSE)</f>
        <v>10</v>
      </c>
      <c r="AL21" s="46">
        <f>HLOOKUP(TBL_CalcDarwin[[#This Row],[Fecha]],'Plantilla AEG ES'!$E$1:$HX$13,11,FALSE)</f>
        <v>0</v>
      </c>
      <c r="AM21" s="46">
        <f>HLOOKUP(TBL_CalcDarwin[[#This Row],[Fecha]],'Plantilla AEG ES'!$E$1:$HX$13,12,FALSE)</f>
        <v>5</v>
      </c>
      <c r="AN21" s="46">
        <f>HLOOKUP(TBL_CalcDarwin[[#This Row],[Fecha]],'Plantilla AEG ES'!$E$1:$HX$13,13,FALSE)</f>
        <v>3</v>
      </c>
      <c r="AO21" s="37">
        <f>TBL_CalcDarwin[[#This Row],[Lomitas - Barra A - 5.2 - Cerro]]+TBL_CalcDarwin[[#This Row],[Lomitas - Barra A - 5.2 - Medio]]+TBL_CalcDarwin[[#This Row],[Lomitas - Barra A - 5.2 - Mar]]</f>
        <v>17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13.718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16.975000000000001</v>
      </c>
      <c r="AS21" s="37">
        <f>TBL_CalcDarwin[[#This Row],[Expansión - Barra A - 5.2 - Cerro]]+TBL_CalcDarwin[[#This Row],[Expansión - Barra A - 5.2 - Medio]]+TBL_CalcDarwin[[#This Row],[Expansión - Barra A - 5.2 - Mar]]</f>
        <v>3</v>
      </c>
      <c r="AT21" s="37">
        <f>TBL_CalcDarwin[[#This Row],[Expansión - Barra B - 5.2 - Cerro]]</f>
        <v>3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21" s="29">
        <f>TBL_CalcDarwin[[#This Row],[Expansión - Barra B - 5.2 - Cerro]]*TBL_CalcDarwin[[#This Row],[AEG 5.2 MW Cerro]]</f>
        <v>1.1459999999999999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45444.833333333292</v>
      </c>
      <c r="C22" s="17">
        <f t="shared" si="1"/>
        <v>0.83333333333333304</v>
      </c>
      <c r="D22" s="34">
        <f>TBL_CalcDarwin[[#This Row],[Darwin PLOM
MW]]+TBL_CalcDarwin[[#This Row],[Darwin PLOME
MW]]</f>
        <v>33.347999999999999</v>
      </c>
      <c r="E22" s="34">
        <f>TBL_CalcDarwin[[#This Row],[PLOM MW TOTAL BARRA A]]+TBL_CalcDarwin[[#This Row],[PLOM MW TOTAL BARRA B]]</f>
        <v>30.693000000000001</v>
      </c>
      <c r="F22" s="34">
        <f>TBL_CalcDarwin[[#This Row],[PLOME MW TOTAL BARRA A]]+TBL_CalcDarwin[[#This Row],[PLOME MW TOTAL BARRA B]]</f>
        <v>2.6549999999999998</v>
      </c>
      <c r="G22" s="48">
        <f>'Plantilla Datos'!D27</f>
        <v>4.7</v>
      </c>
      <c r="H22" s="48">
        <f>'Plantilla Datos'!E27</f>
        <v>6</v>
      </c>
      <c r="I22" s="49">
        <f>'Plantilla Datos'!F27</f>
        <v>16.8</v>
      </c>
      <c r="J22" s="47">
        <f>CEILING('Plantilla Datos'!$L$3*TBL_CalcDarwin[[#This Row],[Darwin Gusts
m/s]],0.5)</f>
        <v>4.5</v>
      </c>
      <c r="K22" s="47">
        <f>CEILING('Plantilla Datos'!$L$4*TBL_CalcDarwin[[#This Row],[Darwin Gusts
m/s]],0.5)</f>
        <v>5.5</v>
      </c>
      <c r="L22" s="47">
        <f>CEILING(TBL_CalcDarwin[[#This Row],[Darwin Gusts
m/s]],0.5)</f>
        <v>6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2" s="41">
        <f>INDEX(Curva_Temp[Temp],MATCH(TBL_CalcDarwin[[#This Row],[Darwin Temp.
°C]],Curva_Temp[Temp]))</f>
        <v>15</v>
      </c>
      <c r="R22" s="41">
        <f>INDEX(Curva_Temp[Warranted Power Curve for 
1.194Kg/m3 air density '[kW']
SG 5.0-145 (AM+1, 5.2MW) AT 
90M],MATCH(TBL_CalcDarwin[[#This Row],[Darwin Temp.
°C]],Curva_Temp[Temp]))</f>
        <v>5200</v>
      </c>
      <c r="S22" s="41" cm="1">
        <f t="array" ref="S22">INDEX(Curva_Temp[Temp],MATCH(TBL_CalcDarwin[[#This Row],[Darwin Temp.
°C]],Curva_Temp[Temp])+1)</f>
        <v>20</v>
      </c>
      <c r="T22" s="41" cm="1">
        <f t="array" ref="T22">INDEX(Curva_Temp[Warranted Power Curve for 
1.194Kg/m3 air density '[kW']
SG 5.0-145 (AM+1, 5.2MW) AT 
90M],MATCH(TBL_CalcDarwin[[#This Row],[Darwin Temp.
°C]],Curva_Temp[Temp])+1)</f>
        <v>5000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2" s="41">
        <f>INDEX(Curva_Temp[Temp],MATCH(TBL_CalcDarwin[[#This Row],[Darwin Temp.
°C]],Curva_Temp[Temp]))</f>
        <v>15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20</v>
      </c>
      <c r="AB22" s="41" cm="1">
        <f t="array" ref="AB22">INDEX(Curva_Temp[Warranted Power Curve for 
1.194Kg/m3 air density '[kW']
SG 5.0-145 (AM 0, 5.0MW) AT 
90M],MATCH(TBL_CalcDarwin[[#This Row],[Darwin Temp.
°C]],Curva_Temp[Temp])+1)</f>
        <v>5000</v>
      </c>
      <c r="AC22" s="45">
        <f>HLOOKUP(TBL_CalcDarwin[[#This Row],[Fecha]],'Plantilla AEG ES'!$E$1:$HX$13,2,FALSE)</f>
        <v>3</v>
      </c>
      <c r="AD22" s="45">
        <f>HLOOKUP(TBL_CalcDarwin[[#This Row],[Fecha]],'Plantilla AEG ES'!$E$1:$HX$13,3,FALSE)</f>
        <v>5</v>
      </c>
      <c r="AE22" s="45">
        <f>HLOOKUP(TBL_CalcDarwin[[#This Row],[Fecha]],'Plantilla AEG ES'!$E$1:$HX$13,4,FALSE)</f>
        <v>9</v>
      </c>
      <c r="AF22" s="45">
        <f>HLOOKUP(TBL_CalcDarwin[[#This Row],[Fecha]],'Plantilla AEG ES'!$E$1:$HX$13,5,FALSE)</f>
        <v>2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0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3</v>
      </c>
      <c r="AK22" s="46">
        <f>HLOOKUP(TBL_CalcDarwin[[#This Row],[Fecha]],'Plantilla AEG ES'!$E$1:$HX$13,10,FALSE)</f>
        <v>10</v>
      </c>
      <c r="AL22" s="46">
        <f>HLOOKUP(TBL_CalcDarwin[[#This Row],[Fecha]],'Plantilla AEG ES'!$E$1:$HX$13,11,FALSE)</f>
        <v>0</v>
      </c>
      <c r="AM22" s="46">
        <f>HLOOKUP(TBL_CalcDarwin[[#This Row],[Fecha]],'Plantilla AEG ES'!$E$1:$HX$13,12,FALSE)</f>
        <v>5</v>
      </c>
      <c r="AN22" s="46">
        <f>HLOOKUP(TBL_CalcDarwin[[#This Row],[Fecha]],'Plantilla AEG ES'!$E$1:$HX$13,13,FALSE)</f>
        <v>3</v>
      </c>
      <c r="AO22" s="37">
        <f>TBL_CalcDarwin[[#This Row],[Lomitas - Barra A - 5.2 - Cerro]]+TBL_CalcDarwin[[#This Row],[Lomitas - Barra A - 5.2 - Medio]]+TBL_CalcDarwin[[#This Row],[Lomitas - Barra A - 5.2 - Mar]]</f>
        <v>17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13.718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16.975000000000001</v>
      </c>
      <c r="AS22" s="37">
        <f>TBL_CalcDarwin[[#This Row],[Expansión - Barra A - 5.2 - Cerro]]+TBL_CalcDarwin[[#This Row],[Expansión - Barra A - 5.2 - Medio]]+TBL_CalcDarwin[[#This Row],[Expansión - Barra A - 5.2 - Mar]]</f>
        <v>3</v>
      </c>
      <c r="AT22" s="37">
        <f>TBL_CalcDarwin[[#This Row],[Expansión - Barra B - 5.2 - Cerro]]</f>
        <v>3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22" s="29">
        <f>TBL_CalcDarwin[[#This Row],[Expansión - Barra B - 5.2 - Cerro]]*TBL_CalcDarwin[[#This Row],[AEG 5.2 MW Cerro]]</f>
        <v>1.1459999999999999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45444.874999999956</v>
      </c>
      <c r="C23" s="17">
        <f>C22+TIME(1,0,0)</f>
        <v>0.87499999999999967</v>
      </c>
      <c r="D23" s="34">
        <f>TBL_CalcDarwin[[#This Row],[Darwin PLOM
MW]]+TBL_CalcDarwin[[#This Row],[Darwin PLOME
MW]]</f>
        <v>40.14</v>
      </c>
      <c r="E23" s="34">
        <f>TBL_CalcDarwin[[#This Row],[PLOM MW TOTAL BARRA A]]+TBL_CalcDarwin[[#This Row],[PLOM MW TOTAL BARRA B]]</f>
        <v>37.484999999999999</v>
      </c>
      <c r="F23" s="34">
        <f>TBL_CalcDarwin[[#This Row],[PLOME MW TOTAL BARRA A]]+TBL_CalcDarwin[[#This Row],[PLOME MW TOTAL BARRA B]]</f>
        <v>2.6549999999999998</v>
      </c>
      <c r="G23" s="48">
        <f>'Plantilla Datos'!D28</f>
        <v>4.8</v>
      </c>
      <c r="H23" s="48">
        <f>'Plantilla Datos'!E28</f>
        <v>6.2</v>
      </c>
      <c r="I23" s="49">
        <f>'Plantilla Datos'!F28</f>
        <v>16.600000000000001</v>
      </c>
      <c r="J23" s="47">
        <f>CEILING('Plantilla Datos'!$L$3*TBL_CalcDarwin[[#This Row],[Darwin Gusts
m/s]],0.5)</f>
        <v>4.5</v>
      </c>
      <c r="K23" s="47">
        <f>CEILING('Plantilla Datos'!$L$4*TBL_CalcDarwin[[#This Row],[Darwin Gusts
m/s]],0.5)</f>
        <v>5.5</v>
      </c>
      <c r="L23" s="47">
        <f>CEILING(TBL_CalcDarwin[[#This Row],[Darwin Gusts
m/s]],0.5)</f>
        <v>6.5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3" s="41">
        <f>INDEX(Curva_Temp[Temp],MATCH(TBL_CalcDarwin[[#This Row],[Darwin Temp.
°C]],Curva_Temp[Temp]))</f>
        <v>15</v>
      </c>
      <c r="R23" s="41">
        <f>INDEX(Curva_Temp[Warranted Power Curve for 
1.194Kg/m3 air density '[kW']
SG 5.0-145 (AM+1, 5.2MW) AT 
90M],MATCH(TBL_CalcDarwin[[#This Row],[Darwin Temp.
°C]],Curva_Temp[Temp]))</f>
        <v>5200</v>
      </c>
      <c r="S23" s="41" cm="1">
        <f t="array" ref="S23">INDEX(Curva_Temp[Temp],MATCH(TBL_CalcDarwin[[#This Row],[Darwin Temp.
°C]],Curva_Temp[Temp])+1)</f>
        <v>20</v>
      </c>
      <c r="T23" s="41" cm="1">
        <f t="array" ref="T23">INDEX(Curva_Temp[Warranted Power Curve for 
1.194Kg/m3 air density '[kW']
SG 5.0-145 (AM+1, 5.2MW) AT 
90M],MATCH(TBL_CalcDarwin[[#This Row],[Darwin Temp.
°C]],Curva_Temp[Temp])+1)</f>
        <v>5000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3" s="41">
        <f>INDEX(Curva_Temp[Temp],MATCH(TBL_CalcDarwin[[#This Row],[Darwin Temp.
°C]],Curva_Temp[Temp]))</f>
        <v>15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20</v>
      </c>
      <c r="AB23" s="41" cm="1">
        <f t="array" ref="AB23">INDEX(Curva_Temp[Warranted Power Curve for 
1.194Kg/m3 air density '[kW']
SG 5.0-145 (AM 0, 5.0MW) AT 
90M],MATCH(TBL_CalcDarwin[[#This Row],[Darwin Temp.
°C]],Curva_Temp[Temp])+1)</f>
        <v>5000</v>
      </c>
      <c r="AC23" s="45">
        <f>HLOOKUP(TBL_CalcDarwin[[#This Row],[Fecha]],'Plantilla AEG ES'!$E$1:$HX$13,2,FALSE)</f>
        <v>3</v>
      </c>
      <c r="AD23" s="45">
        <f>HLOOKUP(TBL_CalcDarwin[[#This Row],[Fecha]],'Plantilla AEG ES'!$E$1:$HX$13,3,FALSE)</f>
        <v>5</v>
      </c>
      <c r="AE23" s="45">
        <f>HLOOKUP(TBL_CalcDarwin[[#This Row],[Fecha]],'Plantilla AEG ES'!$E$1:$HX$13,4,FALSE)</f>
        <v>9</v>
      </c>
      <c r="AF23" s="45">
        <f>HLOOKUP(TBL_CalcDarwin[[#This Row],[Fecha]],'Plantilla AEG ES'!$E$1:$HX$13,5,FALSE)</f>
        <v>2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0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3</v>
      </c>
      <c r="AK23" s="46">
        <f>HLOOKUP(TBL_CalcDarwin[[#This Row],[Fecha]],'Plantilla AEG ES'!$E$1:$HX$13,10,FALSE)</f>
        <v>10</v>
      </c>
      <c r="AL23" s="46">
        <f>HLOOKUP(TBL_CalcDarwin[[#This Row],[Fecha]],'Plantilla AEG ES'!$E$1:$HX$13,11,FALSE)</f>
        <v>0</v>
      </c>
      <c r="AM23" s="46">
        <f>HLOOKUP(TBL_CalcDarwin[[#This Row],[Fecha]],'Plantilla AEG ES'!$E$1:$HX$13,12,FALSE)</f>
        <v>5</v>
      </c>
      <c r="AN23" s="46">
        <f>HLOOKUP(TBL_CalcDarwin[[#This Row],[Fecha]],'Plantilla AEG ES'!$E$1:$HX$13,13,FALSE)</f>
        <v>3</v>
      </c>
      <c r="AO23" s="37">
        <f>TBL_CalcDarwin[[#This Row],[Lomitas - Barra A - 5.2 - Cerro]]+TBL_CalcDarwin[[#This Row],[Lomitas - Barra A - 5.2 - Medio]]+TBL_CalcDarwin[[#This Row],[Lomitas - Barra A - 5.2 - Mar]]</f>
        <v>17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16.265000000000001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21.22</v>
      </c>
      <c r="AS23" s="37">
        <f>TBL_CalcDarwin[[#This Row],[Expansión - Barra A - 5.2 - Cerro]]+TBL_CalcDarwin[[#This Row],[Expansión - Barra A - 5.2 - Medio]]+TBL_CalcDarwin[[#This Row],[Expansión - Barra A - 5.2 - Mar]]</f>
        <v>3</v>
      </c>
      <c r="AT23" s="37">
        <f>TBL_CalcDarwin[[#This Row],[Expansión - Barra B - 5.2 - Cerro]]</f>
        <v>3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23" s="29">
        <f>TBL_CalcDarwin[[#This Row],[Expansión - Barra B - 5.2 - Cerro]]*TBL_CalcDarwin[[#This Row],[AEG 5.2 MW Cerro]]</f>
        <v>1.1459999999999999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45444.916666666621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41.459999999999994</v>
      </c>
      <c r="E24" s="34">
        <f>TBL_CalcDarwin[[#This Row],[PLOM MW TOTAL BARRA A]]+TBL_CalcDarwin[[#This Row],[PLOM MW TOTAL BARRA B]]</f>
        <v>37.979999999999997</v>
      </c>
      <c r="F24" s="34">
        <f>TBL_CalcDarwin[[#This Row],[PLOME MW TOTAL BARRA A]]+TBL_CalcDarwin[[#This Row],[PLOME MW TOTAL BARRA B]]</f>
        <v>3.48</v>
      </c>
      <c r="G24" s="48">
        <f>'Plantilla Datos'!D29</f>
        <v>4.9000000000000004</v>
      </c>
      <c r="H24" s="48">
        <f>'Plantilla Datos'!E29</f>
        <v>6.3</v>
      </c>
      <c r="I24" s="49">
        <f>'Plantilla Datos'!F29</f>
        <v>16.3</v>
      </c>
      <c r="J24" s="47">
        <f>CEILING('Plantilla Datos'!$L$3*TBL_CalcDarwin[[#This Row],[Darwin Gusts
m/s]],0.5)</f>
        <v>5</v>
      </c>
      <c r="K24" s="47">
        <f>CEILING('Plantilla Datos'!$L$4*TBL_CalcDarwin[[#This Row],[Darwin Gusts
m/s]],0.5)</f>
        <v>5.5</v>
      </c>
      <c r="L24" s="47">
        <f>CEILING(TBL_CalcDarwin[[#This Row],[Darwin Gusts
m/s]],0.5)</f>
        <v>6.5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4" s="41">
        <f>INDEX(Curva_Temp[Temp],MATCH(TBL_CalcDarwin[[#This Row],[Darwin Temp.
°C]],Curva_Temp[Temp]))</f>
        <v>15</v>
      </c>
      <c r="R24" s="41">
        <f>INDEX(Curva_Temp[Warranted Power Curve for 
1.194Kg/m3 air density '[kW']
SG 5.0-145 (AM+1, 5.2MW) AT 
90M],MATCH(TBL_CalcDarwin[[#This Row],[Darwin Temp.
°C]],Curva_Temp[Temp]))</f>
        <v>5200</v>
      </c>
      <c r="S24" s="41" cm="1">
        <f t="array" ref="S24">INDEX(Curva_Temp[Temp],MATCH(TBL_CalcDarwin[[#This Row],[Darwin Temp.
°C]],Curva_Temp[Temp])+1)</f>
        <v>20</v>
      </c>
      <c r="T24" s="41" cm="1">
        <f t="array" ref="T24">INDEX(Curva_Temp[Warranted Power Curve for 
1.194Kg/m3 air density '[kW']
SG 5.0-145 (AM+1, 5.2MW) AT 
90M],MATCH(TBL_CalcDarwin[[#This Row],[Darwin Temp.
°C]],Curva_Temp[Temp])+1)</f>
        <v>5000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4" s="41">
        <f>INDEX(Curva_Temp[Temp],MATCH(TBL_CalcDarwin[[#This Row],[Darwin Temp.
°C]],Curva_Temp[Temp]))</f>
        <v>15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20</v>
      </c>
      <c r="AB24" s="41" cm="1">
        <f t="array" ref="AB24">INDEX(Curva_Temp[Warranted Power Curve for 
1.194Kg/m3 air density '[kW']
SG 5.0-145 (AM 0, 5.0MW) AT 
90M],MATCH(TBL_CalcDarwin[[#This Row],[Darwin Temp.
°C]],Curva_Temp[Temp])+1)</f>
        <v>5000</v>
      </c>
      <c r="AC24" s="45">
        <f>HLOOKUP(TBL_CalcDarwin[[#This Row],[Fecha]],'Plantilla AEG ES'!$E$1:$HX$13,2,FALSE)</f>
        <v>3</v>
      </c>
      <c r="AD24" s="45">
        <f>HLOOKUP(TBL_CalcDarwin[[#This Row],[Fecha]],'Plantilla AEG ES'!$E$1:$HX$13,3,FALSE)</f>
        <v>5</v>
      </c>
      <c r="AE24" s="45">
        <f>HLOOKUP(TBL_CalcDarwin[[#This Row],[Fecha]],'Plantilla AEG ES'!$E$1:$HX$13,4,FALSE)</f>
        <v>9</v>
      </c>
      <c r="AF24" s="45">
        <f>HLOOKUP(TBL_CalcDarwin[[#This Row],[Fecha]],'Plantilla AEG ES'!$E$1:$HX$13,5,FALSE)</f>
        <v>2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0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3</v>
      </c>
      <c r="AK24" s="46">
        <f>HLOOKUP(TBL_CalcDarwin[[#This Row],[Fecha]],'Plantilla AEG ES'!$E$1:$HX$13,10,FALSE)</f>
        <v>10</v>
      </c>
      <c r="AL24" s="46">
        <f>HLOOKUP(TBL_CalcDarwin[[#This Row],[Fecha]],'Plantilla AEG ES'!$E$1:$HX$13,11,FALSE)</f>
        <v>0</v>
      </c>
      <c r="AM24" s="46">
        <f>HLOOKUP(TBL_CalcDarwin[[#This Row],[Fecha]],'Plantilla AEG ES'!$E$1:$HX$13,12,FALSE)</f>
        <v>5</v>
      </c>
      <c r="AN24" s="46">
        <f>HLOOKUP(TBL_CalcDarwin[[#This Row],[Fecha]],'Plantilla AEG ES'!$E$1:$HX$13,13,FALSE)</f>
        <v>3</v>
      </c>
      <c r="AO24" s="37">
        <f>TBL_CalcDarwin[[#This Row],[Lomitas - Barra A - 5.2 - Cerro]]+TBL_CalcDarwin[[#This Row],[Lomitas - Barra A - 5.2 - Medio]]+TBL_CalcDarwin[[#This Row],[Lomitas - Barra A - 5.2 - Mar]]</f>
        <v>17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16.759999999999998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21.22</v>
      </c>
      <c r="AS24" s="37">
        <f>TBL_CalcDarwin[[#This Row],[Expansión - Barra A - 5.2 - Cerro]]+TBL_CalcDarwin[[#This Row],[Expansión - Barra A - 5.2 - Medio]]+TBL_CalcDarwin[[#This Row],[Expansión - Barra A - 5.2 - Mar]]</f>
        <v>3</v>
      </c>
      <c r="AT24" s="37">
        <f>TBL_CalcDarwin[[#This Row],[Expansión - Barra B - 5.2 - Cerro]]</f>
        <v>3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1.839</v>
      </c>
      <c r="AV24" s="29">
        <f>TBL_CalcDarwin[[#This Row],[Expansión - Barra B - 5.2 - Cerro]]*TBL_CalcDarwin[[#This Row],[AEG 5.2 MW Cerro]]</f>
        <v>1.641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45444.958333333285</v>
      </c>
      <c r="C25" s="17">
        <f t="shared" si="2"/>
        <v>0.95833333333333293</v>
      </c>
      <c r="D25" s="34">
        <f>TBL_CalcDarwin[[#This Row],[Darwin PLOM
MW]]+TBL_CalcDarwin[[#This Row],[Darwin PLOME
MW]]</f>
        <v>31.566000000000003</v>
      </c>
      <c r="E25" s="34">
        <f>TBL_CalcDarwin[[#This Row],[PLOM MW TOTAL BARRA A]]+TBL_CalcDarwin[[#This Row],[PLOM MW TOTAL BARRA B]]</f>
        <v>29.109000000000002</v>
      </c>
      <c r="F25" s="34">
        <f>TBL_CalcDarwin[[#This Row],[PLOME MW TOTAL BARRA A]]+TBL_CalcDarwin[[#This Row],[PLOME MW TOTAL BARRA B]]</f>
        <v>2.4569999999999999</v>
      </c>
      <c r="G25" s="48">
        <f>'Plantilla Datos'!D30</f>
        <v>4.4000000000000004</v>
      </c>
      <c r="H25" s="48">
        <f>'Plantilla Datos'!E30</f>
        <v>5.7</v>
      </c>
      <c r="I25" s="49">
        <f>'Plantilla Datos'!F30</f>
        <v>16.2</v>
      </c>
      <c r="J25" s="47">
        <f>CEILING('Plantilla Datos'!$L$3*TBL_CalcDarwin[[#This Row],[Darwin Gusts
m/s]],0.5)</f>
        <v>4.5</v>
      </c>
      <c r="K25" s="47">
        <f>CEILING('Plantilla Datos'!$L$4*TBL_CalcDarwin[[#This Row],[Darwin Gusts
m/s]],0.5)</f>
        <v>5</v>
      </c>
      <c r="L25" s="47">
        <f>CEILING(TBL_CalcDarwin[[#This Row],[Darwin Gusts
m/s]],0.5)</f>
        <v>6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5" s="41">
        <f>INDEX(Curva_Temp[Temp],MATCH(TBL_CalcDarwin[[#This Row],[Darwin Temp.
°C]],Curva_Temp[Temp]))</f>
        <v>15</v>
      </c>
      <c r="R25" s="41">
        <f>INDEX(Curva_Temp[Warranted Power Curve for 
1.194Kg/m3 air density '[kW']
SG 5.0-145 (AM+1, 5.2MW) AT 
90M],MATCH(TBL_CalcDarwin[[#This Row],[Darwin Temp.
°C]],Curva_Temp[Temp]))</f>
        <v>5200</v>
      </c>
      <c r="S25" s="41" cm="1">
        <f t="array" ref="S25">INDEX(Curva_Temp[Temp],MATCH(TBL_CalcDarwin[[#This Row],[Darwin Temp.
°C]],Curva_Temp[Temp])+1)</f>
        <v>20</v>
      </c>
      <c r="T25" s="41" cm="1">
        <f t="array" ref="T25">INDEX(Curva_Temp[Warranted Power Curve for 
1.194Kg/m3 air density '[kW']
SG 5.0-145 (AM+1, 5.2MW) AT 
90M],MATCH(TBL_CalcDarwin[[#This Row],[Darwin Temp.
°C]],Curva_Temp[Temp])+1)</f>
        <v>5000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5" s="41">
        <f>INDEX(Curva_Temp[Temp],MATCH(TBL_CalcDarwin[[#This Row],[Darwin Temp.
°C]],Curva_Temp[Temp]))</f>
        <v>15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20</v>
      </c>
      <c r="AB25" s="41" cm="1">
        <f t="array" ref="AB25">INDEX(Curva_Temp[Warranted Power Curve for 
1.194Kg/m3 air density '[kW']
SG 5.0-145 (AM 0, 5.0MW) AT 
90M],MATCH(TBL_CalcDarwin[[#This Row],[Darwin Temp.
°C]],Curva_Temp[Temp])+1)</f>
        <v>5000</v>
      </c>
      <c r="AC25" s="45">
        <f>HLOOKUP(TBL_CalcDarwin[[#This Row],[Fecha]],'Plantilla AEG ES'!$E$1:$HX$13,2,FALSE)</f>
        <v>3</v>
      </c>
      <c r="AD25" s="45">
        <f>HLOOKUP(TBL_CalcDarwin[[#This Row],[Fecha]],'Plantilla AEG ES'!$E$1:$HX$13,3,FALSE)</f>
        <v>5</v>
      </c>
      <c r="AE25" s="45">
        <f>HLOOKUP(TBL_CalcDarwin[[#This Row],[Fecha]],'Plantilla AEG ES'!$E$1:$HX$13,4,FALSE)</f>
        <v>9</v>
      </c>
      <c r="AF25" s="45">
        <f>HLOOKUP(TBL_CalcDarwin[[#This Row],[Fecha]],'Plantilla AEG ES'!$E$1:$HX$13,5,FALSE)</f>
        <v>2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0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3</v>
      </c>
      <c r="AK25" s="46">
        <f>HLOOKUP(TBL_CalcDarwin[[#This Row],[Fecha]],'Plantilla AEG ES'!$E$1:$HX$13,10,FALSE)</f>
        <v>10</v>
      </c>
      <c r="AL25" s="46">
        <f>HLOOKUP(TBL_CalcDarwin[[#This Row],[Fecha]],'Plantilla AEG ES'!$E$1:$HX$13,11,FALSE)</f>
        <v>0</v>
      </c>
      <c r="AM25" s="46">
        <f>HLOOKUP(TBL_CalcDarwin[[#This Row],[Fecha]],'Plantilla AEG ES'!$E$1:$HX$13,12,FALSE)</f>
        <v>5</v>
      </c>
      <c r="AN25" s="46">
        <f>HLOOKUP(TBL_CalcDarwin[[#This Row],[Fecha]],'Plantilla AEG ES'!$E$1:$HX$13,13,FALSE)</f>
        <v>3</v>
      </c>
      <c r="AO25" s="37">
        <f>TBL_CalcDarwin[[#This Row],[Lomitas - Barra A - 5.2 - Cerro]]+TBL_CalcDarwin[[#This Row],[Lomitas - Barra A - 5.2 - Medio]]+TBL_CalcDarwin[[#This Row],[Lomitas - Barra A - 5.2 - Mar]]</f>
        <v>17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12.728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16.381</v>
      </c>
      <c r="AS25" s="37">
        <f>TBL_CalcDarwin[[#This Row],[Expansión - Barra A - 5.2 - Cerro]]+TBL_CalcDarwin[[#This Row],[Expansión - Barra A - 5.2 - Medio]]+TBL_CalcDarwin[[#This Row],[Expansión - Barra A - 5.2 - Mar]]</f>
        <v>3</v>
      </c>
      <c r="AT25" s="37">
        <f>TBL_CalcDarwin[[#This Row],[Expansión - Barra B - 5.2 - Cerro]]</f>
        <v>3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25" s="29">
        <f>TBL_CalcDarwin[[#This Row],[Expansión - Barra B - 5.2 - Cerro]]*TBL_CalcDarwin[[#This Row],[AEG 5.2 MW Cerro]]</f>
        <v>1.1459999999999999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45444.999999999949</v>
      </c>
      <c r="C26" s="17">
        <f t="shared" si="2"/>
        <v>0.99999999999999956</v>
      </c>
      <c r="D26" s="34">
        <f>TBL_CalcDarwin[[#This Row],[Darwin PLOM
MW]]+TBL_CalcDarwin[[#This Row],[Darwin PLOME
MW]]</f>
        <v>23.250000000000004</v>
      </c>
      <c r="E26" s="34">
        <f>TBL_CalcDarwin[[#This Row],[PLOM MW TOTAL BARRA A]]+TBL_CalcDarwin[[#This Row],[PLOM MW TOTAL BARRA B]]</f>
        <v>21.648000000000003</v>
      </c>
      <c r="F26" s="34">
        <f>TBL_CalcDarwin[[#This Row],[PLOME MW TOTAL BARRA A]]+TBL_CalcDarwin[[#This Row],[PLOME MW TOTAL BARRA B]]</f>
        <v>1.6019999999999999</v>
      </c>
      <c r="G26" s="48">
        <f>'Plantilla Datos'!D31</f>
        <v>3.9</v>
      </c>
      <c r="H26" s="48">
        <f>'Plantilla Datos'!E31</f>
        <v>5.0999999999999996</v>
      </c>
      <c r="I26" s="49">
        <f>'Plantilla Datos'!F31</f>
        <v>16.100000000000001</v>
      </c>
      <c r="J26" s="47">
        <f>CEILING('Plantilla Datos'!$L$3*TBL_CalcDarwin[[#This Row],[Darwin Gusts
m/s]],0.5)</f>
        <v>4</v>
      </c>
      <c r="K26" s="47">
        <f>CEILING('Plantilla Datos'!$L$4*TBL_CalcDarwin[[#This Row],[Darwin Gusts
m/s]],0.5)</f>
        <v>4.5</v>
      </c>
      <c r="L26" s="47">
        <f>CEILING(TBL_CalcDarwin[[#This Row],[Darwin Gusts
m/s]],0.5)</f>
        <v>5.5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6" s="41">
        <f>INDEX(Curva_Temp[Temp],MATCH(TBL_CalcDarwin[[#This Row],[Darwin Temp.
°C]],Curva_Temp[Temp]))</f>
        <v>15</v>
      </c>
      <c r="R26" s="41">
        <f>INDEX(Curva_Temp[Warranted Power Curve for 
1.194Kg/m3 air density '[kW']
SG 5.0-145 (AM+1, 5.2MW) AT 
90M],MATCH(TBL_CalcDarwin[[#This Row],[Darwin Temp.
°C]],Curva_Temp[Temp]))</f>
        <v>5200</v>
      </c>
      <c r="S26" s="41" cm="1">
        <f t="array" ref="S26">INDEX(Curva_Temp[Temp],MATCH(TBL_CalcDarwin[[#This Row],[Darwin Temp.
°C]],Curva_Temp[Temp])+1)</f>
        <v>20</v>
      </c>
      <c r="T26" s="41" cm="1">
        <f t="array" ref="T26">INDEX(Curva_Temp[Warranted Power Curve for 
1.194Kg/m3 air density '[kW']
SG 5.0-145 (AM+1, 5.2MW) AT 
90M],MATCH(TBL_CalcDarwin[[#This Row],[Darwin Temp.
°C]],Curva_Temp[Temp])+1)</f>
        <v>5000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6" s="41">
        <f>INDEX(Curva_Temp[Temp],MATCH(TBL_CalcDarwin[[#This Row],[Darwin Temp.
°C]],Curva_Temp[Temp]))</f>
        <v>15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20</v>
      </c>
      <c r="AB26" s="41" cm="1">
        <f t="array" ref="AB26">INDEX(Curva_Temp[Warranted Power Curve for 
1.194Kg/m3 air density '[kW']
SG 5.0-145 (AM 0, 5.0MW) AT 
90M],MATCH(TBL_CalcDarwin[[#This Row],[Darwin Temp.
°C]],Curva_Temp[Temp])+1)</f>
        <v>5000</v>
      </c>
      <c r="AC26" s="45">
        <f>HLOOKUP(TBL_CalcDarwin[[#This Row],[Fecha]],'Plantilla AEG ES'!$E$1:$HX$13,2,FALSE)</f>
        <v>3</v>
      </c>
      <c r="AD26" s="45">
        <f>HLOOKUP(TBL_CalcDarwin[[#This Row],[Fecha]],'Plantilla AEG ES'!$E$1:$HX$13,3,FALSE)</f>
        <v>5</v>
      </c>
      <c r="AE26" s="45">
        <f>HLOOKUP(TBL_CalcDarwin[[#This Row],[Fecha]],'Plantilla AEG ES'!$E$1:$HX$13,4,FALSE)</f>
        <v>9</v>
      </c>
      <c r="AF26" s="45">
        <f>HLOOKUP(TBL_CalcDarwin[[#This Row],[Fecha]],'Plantilla AEG ES'!$E$1:$HX$13,5,FALSE)</f>
        <v>2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0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3</v>
      </c>
      <c r="AK26" s="46">
        <f>HLOOKUP(TBL_CalcDarwin[[#This Row],[Fecha]],'Plantilla AEG ES'!$E$1:$HX$13,10,FALSE)</f>
        <v>10</v>
      </c>
      <c r="AL26" s="46">
        <f>HLOOKUP(TBL_CalcDarwin[[#This Row],[Fecha]],'Plantilla AEG ES'!$E$1:$HX$13,11,FALSE)</f>
        <v>0</v>
      </c>
      <c r="AM26" s="46">
        <f>HLOOKUP(TBL_CalcDarwin[[#This Row],[Fecha]],'Plantilla AEG ES'!$E$1:$HX$13,12,FALSE)</f>
        <v>5</v>
      </c>
      <c r="AN26" s="46">
        <f>HLOOKUP(TBL_CalcDarwin[[#This Row],[Fecha]],'Plantilla AEG ES'!$E$1:$HX$13,13,FALSE)</f>
        <v>3</v>
      </c>
      <c r="AO26" s="37">
        <f>TBL_CalcDarwin[[#This Row],[Lomitas - Barra A - 5.2 - Cerro]]+TBL_CalcDarwin[[#This Row],[Lomitas - Barra A - 5.2 - Medio]]+TBL_CalcDarwin[[#This Row],[Lomitas - Barra A - 5.2 - Mar]]</f>
        <v>17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9.3470000000000013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12.301</v>
      </c>
      <c r="AS26" s="37">
        <f>TBL_CalcDarwin[[#This Row],[Expansión - Barra A - 5.2 - Cerro]]+TBL_CalcDarwin[[#This Row],[Expansión - Barra A - 5.2 - Medio]]+TBL_CalcDarwin[[#This Row],[Expansión - Barra A - 5.2 - Mar]]</f>
        <v>3</v>
      </c>
      <c r="AT26" s="37">
        <f>TBL_CalcDarwin[[#This Row],[Expansión - Barra B - 5.2 - Cerro]]</f>
        <v>3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26" s="29">
        <f>TBL_CalcDarwin[[#This Row],[Expansión - Barra B - 5.2 - Cerro]]*TBL_CalcDarwin[[#This Row],[AEG 5.2 MW Cerro]]</f>
        <v>0.73199999999999998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45445.041666666613</v>
      </c>
      <c r="C27" s="17">
        <f t="shared" si="2"/>
        <v>1.0416666666666663</v>
      </c>
      <c r="D27" s="34">
        <f>TBL_CalcDarwin[[#This Row],[Darwin PLOM
MW]]+TBL_CalcDarwin[[#This Row],[Darwin PLOME
MW]]</f>
        <v>12.349</v>
      </c>
      <c r="E27" s="34">
        <f>TBL_CalcDarwin[[#This Row],[PLOM MW TOTAL BARRA A]]+TBL_CalcDarwin[[#This Row],[PLOM MW TOTAL BARRA B]]</f>
        <v>11.455</v>
      </c>
      <c r="F27" s="34">
        <f>TBL_CalcDarwin[[#This Row],[PLOME MW TOTAL BARRA A]]+TBL_CalcDarwin[[#This Row],[PLOME MW TOTAL BARRA B]]</f>
        <v>0.89400000000000002</v>
      </c>
      <c r="G27" s="48">
        <f>'Plantilla Datos'!D32</f>
        <v>3.3</v>
      </c>
      <c r="H27" s="48">
        <f>'Plantilla Datos'!E32</f>
        <v>4.4000000000000004</v>
      </c>
      <c r="I27" s="49">
        <f>'Plantilla Datos'!F32</f>
        <v>16</v>
      </c>
      <c r="J27" s="47">
        <f>CEILING('Plantilla Datos'!$L$3*TBL_CalcDarwin[[#This Row],[Darwin Gusts
m/s]],0.5)</f>
        <v>3.5</v>
      </c>
      <c r="K27" s="47">
        <f>CEILING('Plantilla Datos'!$L$4*TBL_CalcDarwin[[#This Row],[Darwin Gusts
m/s]],0.5)</f>
        <v>4</v>
      </c>
      <c r="L27" s="47">
        <f>CEILING(TBL_CalcDarwin[[#This Row],[Darwin Gusts
m/s]],0.5)</f>
        <v>4.5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27" s="41">
        <f>INDEX(Curva_Temp[Temp],MATCH(TBL_CalcDarwin[[#This Row],[Darwin Temp.
°C]],Curva_Temp[Temp]))</f>
        <v>15</v>
      </c>
      <c r="R27" s="41">
        <f>INDEX(Curva_Temp[Warranted Power Curve for 
1.194Kg/m3 air density '[kW']
SG 5.0-145 (AM+1, 5.2MW) AT 
90M],MATCH(TBL_CalcDarwin[[#This Row],[Darwin Temp.
°C]],Curva_Temp[Temp]))</f>
        <v>5200</v>
      </c>
      <c r="S27" s="41" cm="1">
        <f t="array" ref="S27">INDEX(Curva_Temp[Temp],MATCH(TBL_CalcDarwin[[#This Row],[Darwin Temp.
°C]],Curva_Temp[Temp])+1)</f>
        <v>20</v>
      </c>
      <c r="T27" s="41" cm="1">
        <f t="array" ref="T27">INDEX(Curva_Temp[Warranted Power Curve for 
1.194Kg/m3 air density '[kW']
SG 5.0-145 (AM+1, 5.2MW) AT 
90M],MATCH(TBL_CalcDarwin[[#This Row],[Darwin Temp.
°C]],Curva_Temp[Temp])+1)</f>
        <v>5000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27" s="41">
        <f>INDEX(Curva_Temp[Temp],MATCH(TBL_CalcDarwin[[#This Row],[Darwin Temp.
°C]],Curva_Temp[Temp]))</f>
        <v>15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20</v>
      </c>
      <c r="AB27" s="41" cm="1">
        <f t="array" ref="AB27">INDEX(Curva_Temp[Warranted Power Curve for 
1.194Kg/m3 air density '[kW']
SG 5.0-145 (AM 0, 5.0MW) AT 
90M],MATCH(TBL_CalcDarwin[[#This Row],[Darwin Temp.
°C]],Curva_Temp[Temp])+1)</f>
        <v>5000</v>
      </c>
      <c r="AC27" s="45">
        <f>HLOOKUP(TBL_CalcDarwin[[#This Row],[Fecha]],'Plantilla AEG ES'!$E$1:$HX$13,2,FALSE)</f>
        <v>3</v>
      </c>
      <c r="AD27" s="45">
        <f>HLOOKUP(TBL_CalcDarwin[[#This Row],[Fecha]],'Plantilla AEG ES'!$E$1:$HX$13,3,FALSE)</f>
        <v>5</v>
      </c>
      <c r="AE27" s="45">
        <f>HLOOKUP(TBL_CalcDarwin[[#This Row],[Fecha]],'Plantilla AEG ES'!$E$1:$HX$13,4,FALSE)</f>
        <v>9</v>
      </c>
      <c r="AF27" s="45">
        <f>HLOOKUP(TBL_CalcDarwin[[#This Row],[Fecha]],'Plantilla AEG ES'!$E$1:$HX$13,5,FALSE)</f>
        <v>2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0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3</v>
      </c>
      <c r="AK27" s="46">
        <f>HLOOKUP(TBL_CalcDarwin[[#This Row],[Fecha]],'Plantilla AEG ES'!$E$1:$HX$13,10,FALSE)</f>
        <v>10</v>
      </c>
      <c r="AL27" s="46">
        <f>HLOOKUP(TBL_CalcDarwin[[#This Row],[Fecha]],'Plantilla AEG ES'!$E$1:$HX$13,11,FALSE)</f>
        <v>0</v>
      </c>
      <c r="AM27" s="46">
        <f>HLOOKUP(TBL_CalcDarwin[[#This Row],[Fecha]],'Plantilla AEG ES'!$E$1:$HX$13,12,FALSE)</f>
        <v>5</v>
      </c>
      <c r="AN27" s="46">
        <f>HLOOKUP(TBL_CalcDarwin[[#This Row],[Fecha]],'Plantilla AEG ES'!$E$1:$HX$13,13,FALSE)</f>
        <v>3</v>
      </c>
      <c r="AO27" s="37">
        <f>TBL_CalcDarwin[[#This Row],[Lomitas - Barra A - 5.2 - Cerro]]+TBL_CalcDarwin[[#This Row],[Lomitas - Barra A - 5.2 - Medio]]+TBL_CalcDarwin[[#This Row],[Lomitas - Barra A - 5.2 - Mar]]</f>
        <v>17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5.048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6.407</v>
      </c>
      <c r="AS27" s="37">
        <f>TBL_CalcDarwin[[#This Row],[Expansión - Barra A - 5.2 - Cerro]]+TBL_CalcDarwin[[#This Row],[Expansión - Barra A - 5.2 - Medio]]+TBL_CalcDarwin[[#This Row],[Expansión - Barra A - 5.2 - Mar]]</f>
        <v>3</v>
      </c>
      <c r="AT27" s="37">
        <f>TBL_CalcDarwin[[#This Row],[Expansión - Barra B - 5.2 - Cerro]]</f>
        <v>3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27" s="29">
        <f>TBL_CalcDarwin[[#This Row],[Expansión - Barra B - 5.2 - Cerro]]*TBL_CalcDarwin[[#This Row],[AEG 5.2 MW Cerro]]</f>
        <v>0.39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45445.083333333278</v>
      </c>
      <c r="C28" s="17">
        <f t="shared" si="2"/>
        <v>1.083333333333333</v>
      </c>
      <c r="D28" s="34">
        <f>TBL_CalcDarwin[[#This Row],[Darwin PLOM
MW]]+TBL_CalcDarwin[[#This Row],[Darwin PLOME
MW]]</f>
        <v>7.4110000000000005</v>
      </c>
      <c r="E28" s="34">
        <f>TBL_CalcDarwin[[#This Row],[PLOM MW TOTAL BARRA A]]+TBL_CalcDarwin[[#This Row],[PLOM MW TOTAL BARRA B]]</f>
        <v>7.0060000000000002</v>
      </c>
      <c r="F28" s="34">
        <f>TBL_CalcDarwin[[#This Row],[PLOME MW TOTAL BARRA A]]+TBL_CalcDarwin[[#This Row],[PLOME MW TOTAL BARRA B]]</f>
        <v>0.40500000000000003</v>
      </c>
      <c r="G28" s="48">
        <f>'Plantilla Datos'!D33</f>
        <v>2.8</v>
      </c>
      <c r="H28" s="48">
        <f>'Plantilla Datos'!E33</f>
        <v>3.8</v>
      </c>
      <c r="I28" s="49">
        <f>'Plantilla Datos'!F33</f>
        <v>15.9</v>
      </c>
      <c r="J28" s="47">
        <f>CEILING('Plantilla Datos'!$L$3*TBL_CalcDarwin[[#This Row],[Darwin Gusts
m/s]],0.5)</f>
        <v>3</v>
      </c>
      <c r="K28" s="47">
        <f>CEILING('Plantilla Datos'!$L$4*TBL_CalcDarwin[[#This Row],[Darwin Gusts
m/s]],0.5)</f>
        <v>3.5</v>
      </c>
      <c r="L28" s="47">
        <f>CEILING(TBL_CalcDarwin[[#This Row],[Darwin Gusts
m/s]],0.5)</f>
        <v>4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28" s="41">
        <f>INDEX(Curva_Temp[Temp],MATCH(TBL_CalcDarwin[[#This Row],[Darwin Temp.
°C]],Curva_Temp[Temp]))</f>
        <v>15</v>
      </c>
      <c r="R28" s="41">
        <f>INDEX(Curva_Temp[Warranted Power Curve for 
1.194Kg/m3 air density '[kW']
SG 5.0-145 (AM+1, 5.2MW) AT 
90M],MATCH(TBL_CalcDarwin[[#This Row],[Darwin Temp.
°C]],Curva_Temp[Temp]))</f>
        <v>5200</v>
      </c>
      <c r="S28" s="41" cm="1">
        <f t="array" ref="S28">INDEX(Curva_Temp[Temp],MATCH(TBL_CalcDarwin[[#This Row],[Darwin Temp.
°C]],Curva_Temp[Temp])+1)</f>
        <v>20</v>
      </c>
      <c r="T28" s="41" cm="1">
        <f t="array" ref="T28">INDEX(Curva_Temp[Warranted Power Curve for 
1.194Kg/m3 air density '[kW']
SG 5.0-145 (AM+1, 5.2MW) AT 
90M],MATCH(TBL_CalcDarwin[[#This Row],[Darwin Temp.
°C]],Curva_Temp[Temp])+1)</f>
        <v>5000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28" s="41">
        <f>INDEX(Curva_Temp[Temp],MATCH(TBL_CalcDarwin[[#This Row],[Darwin Temp.
°C]],Curva_Temp[Temp]))</f>
        <v>15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20</v>
      </c>
      <c r="AB28" s="41" cm="1">
        <f t="array" ref="AB28">INDEX(Curva_Temp[Warranted Power Curve for 
1.194Kg/m3 air density '[kW']
SG 5.0-145 (AM 0, 5.0MW) AT 
90M],MATCH(TBL_CalcDarwin[[#This Row],[Darwin Temp.
°C]],Curva_Temp[Temp])+1)</f>
        <v>5000</v>
      </c>
      <c r="AC28" s="45">
        <f>HLOOKUP(TBL_CalcDarwin[[#This Row],[Fecha]],'Plantilla AEG ES'!$E$1:$HX$13,2,FALSE)</f>
        <v>3</v>
      </c>
      <c r="AD28" s="45">
        <f>HLOOKUP(TBL_CalcDarwin[[#This Row],[Fecha]],'Plantilla AEG ES'!$E$1:$HX$13,3,FALSE)</f>
        <v>5</v>
      </c>
      <c r="AE28" s="45">
        <f>HLOOKUP(TBL_CalcDarwin[[#This Row],[Fecha]],'Plantilla AEG ES'!$E$1:$HX$13,4,FALSE)</f>
        <v>9</v>
      </c>
      <c r="AF28" s="45">
        <f>HLOOKUP(TBL_CalcDarwin[[#This Row],[Fecha]],'Plantilla AEG ES'!$E$1:$HX$13,5,FALSE)</f>
        <v>2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0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3</v>
      </c>
      <c r="AK28" s="46">
        <f>HLOOKUP(TBL_CalcDarwin[[#This Row],[Fecha]],'Plantilla AEG ES'!$E$1:$HX$13,10,FALSE)</f>
        <v>10</v>
      </c>
      <c r="AL28" s="46">
        <f>HLOOKUP(TBL_CalcDarwin[[#This Row],[Fecha]],'Plantilla AEG ES'!$E$1:$HX$13,11,FALSE)</f>
        <v>0</v>
      </c>
      <c r="AM28" s="46">
        <f>HLOOKUP(TBL_CalcDarwin[[#This Row],[Fecha]],'Plantilla AEG ES'!$E$1:$HX$13,12,FALSE)</f>
        <v>5</v>
      </c>
      <c r="AN28" s="46">
        <f>HLOOKUP(TBL_CalcDarwin[[#This Row],[Fecha]],'Plantilla AEG ES'!$E$1:$HX$13,13,FALSE)</f>
        <v>3</v>
      </c>
      <c r="AO28" s="37">
        <f>TBL_CalcDarwin[[#This Row],[Lomitas - Barra A - 5.2 - Cerro]]+TBL_CalcDarwin[[#This Row],[Lomitas - Barra A - 5.2 - Medio]]+TBL_CalcDarwin[[#This Row],[Lomitas - Barra A - 5.2 - Mar]]</f>
        <v>17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3.0109999999999997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3.9950000000000001</v>
      </c>
      <c r="AS28" s="37">
        <f>TBL_CalcDarwin[[#This Row],[Expansión - Barra A - 5.2 - Cerro]]+TBL_CalcDarwin[[#This Row],[Expansión - Barra A - 5.2 - Medio]]+TBL_CalcDarwin[[#This Row],[Expansión - Barra A - 5.2 - Mar]]</f>
        <v>3</v>
      </c>
      <c r="AT28" s="37">
        <f>TBL_CalcDarwin[[#This Row],[Expansión - Barra B - 5.2 - Cerro]]</f>
        <v>3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28" s="29">
        <f>TBL_CalcDarwin[[#This Row],[Expansión - Barra B - 5.2 - Cerro]]*TBL_CalcDarwin[[#This Row],[AEG 5.2 MW Cerro]]</f>
        <v>0.16500000000000001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45445.124999999942</v>
      </c>
      <c r="C29" s="17">
        <f>C28+TIME(1,0,0)</f>
        <v>1.1249999999999998</v>
      </c>
      <c r="D29" s="34">
        <f>TBL_CalcDarwin[[#This Row],[Darwin PLOM
MW]]+TBL_CalcDarwin[[#This Row],[Darwin PLOME
MW]]</f>
        <v>3.59</v>
      </c>
      <c r="E29" s="34">
        <f>TBL_CalcDarwin[[#This Row],[PLOM MW TOTAL BARRA A]]+TBL_CalcDarwin[[#This Row],[PLOM MW TOTAL BARRA B]]</f>
        <v>3.5349999999999997</v>
      </c>
      <c r="F29" s="34">
        <f>TBL_CalcDarwin[[#This Row],[PLOME MW TOTAL BARRA A]]+TBL_CalcDarwin[[#This Row],[PLOME MW TOTAL BARRA B]]</f>
        <v>5.5E-2</v>
      </c>
      <c r="G29" s="48">
        <f>'Plantilla Datos'!D34</f>
        <v>2.4</v>
      </c>
      <c r="H29" s="48">
        <f>'Plantilla Datos'!E34</f>
        <v>3.2</v>
      </c>
      <c r="I29" s="49">
        <f>'Plantilla Datos'!F34</f>
        <v>15.8</v>
      </c>
      <c r="J29" s="47">
        <f>CEILING('Plantilla Datos'!$L$3*TBL_CalcDarwin[[#This Row],[Darwin Gusts
m/s]],0.5)</f>
        <v>2.5</v>
      </c>
      <c r="K29" s="47">
        <f>CEILING('Plantilla Datos'!$L$4*TBL_CalcDarwin[[#This Row],[Darwin Gusts
m/s]],0.5)</f>
        <v>3</v>
      </c>
      <c r="L29" s="47">
        <f>CEILING(TBL_CalcDarwin[[#This Row],[Darwin Gusts
m/s]],0.5)</f>
        <v>3.5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29" s="41">
        <f>INDEX(Curva_Temp[Temp],MATCH(TBL_CalcDarwin[[#This Row],[Darwin Temp.
°C]],Curva_Temp[Temp]))</f>
        <v>15</v>
      </c>
      <c r="R29" s="41">
        <f>INDEX(Curva_Temp[Warranted Power Curve for 
1.194Kg/m3 air density '[kW']
SG 5.0-145 (AM+1, 5.2MW) AT 
90M],MATCH(TBL_CalcDarwin[[#This Row],[Darwin Temp.
°C]],Curva_Temp[Temp]))</f>
        <v>5200</v>
      </c>
      <c r="S29" s="41" cm="1">
        <f t="array" ref="S29">INDEX(Curva_Temp[Temp],MATCH(TBL_CalcDarwin[[#This Row],[Darwin Temp.
°C]],Curva_Temp[Temp])+1)</f>
        <v>20</v>
      </c>
      <c r="T29" s="41" cm="1">
        <f t="array" ref="T29">INDEX(Curva_Temp[Warranted Power Curve for 
1.194Kg/m3 air density '[kW']
SG 5.0-145 (AM+1, 5.2MW) AT 
90M],MATCH(TBL_CalcDarwin[[#This Row],[Darwin Temp.
°C]],Curva_Temp[Temp])+1)</f>
        <v>5000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29" s="41">
        <f>INDEX(Curva_Temp[Temp],MATCH(TBL_CalcDarwin[[#This Row],[Darwin Temp.
°C]],Curva_Temp[Temp]))</f>
        <v>15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20</v>
      </c>
      <c r="AB29" s="41" cm="1">
        <f t="array" ref="AB29">INDEX(Curva_Temp[Warranted Power Curve for 
1.194Kg/m3 air density '[kW']
SG 5.0-145 (AM 0, 5.0MW) AT 
90M],MATCH(TBL_CalcDarwin[[#This Row],[Darwin Temp.
°C]],Curva_Temp[Temp])+1)</f>
        <v>5000</v>
      </c>
      <c r="AC29" s="45">
        <f>HLOOKUP(TBL_CalcDarwin[[#This Row],[Fecha]],'Plantilla AEG ES'!$E$1:$HX$13,2,FALSE)</f>
        <v>3</v>
      </c>
      <c r="AD29" s="45">
        <f>HLOOKUP(TBL_CalcDarwin[[#This Row],[Fecha]],'Plantilla AEG ES'!$E$1:$HX$13,3,FALSE)</f>
        <v>5</v>
      </c>
      <c r="AE29" s="45">
        <f>HLOOKUP(TBL_CalcDarwin[[#This Row],[Fecha]],'Plantilla AEG ES'!$E$1:$HX$13,4,FALSE)</f>
        <v>9</v>
      </c>
      <c r="AF29" s="45">
        <f>HLOOKUP(TBL_CalcDarwin[[#This Row],[Fecha]],'Plantilla AEG ES'!$E$1:$HX$13,5,FALSE)</f>
        <v>2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0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3</v>
      </c>
      <c r="AK29" s="46">
        <f>HLOOKUP(TBL_CalcDarwin[[#This Row],[Fecha]],'Plantilla AEG ES'!$E$1:$HX$13,10,FALSE)</f>
        <v>10</v>
      </c>
      <c r="AL29" s="46">
        <f>HLOOKUP(TBL_CalcDarwin[[#This Row],[Fecha]],'Plantilla AEG ES'!$E$1:$HX$13,11,FALSE)</f>
        <v>0</v>
      </c>
      <c r="AM29" s="46">
        <f>HLOOKUP(TBL_CalcDarwin[[#This Row],[Fecha]],'Plantilla AEG ES'!$E$1:$HX$13,12,FALSE)</f>
        <v>5</v>
      </c>
      <c r="AN29" s="46">
        <f>HLOOKUP(TBL_CalcDarwin[[#This Row],[Fecha]],'Plantilla AEG ES'!$E$1:$HX$13,13,FALSE)</f>
        <v>3</v>
      </c>
      <c r="AO29" s="37">
        <f>TBL_CalcDarwin[[#This Row],[Lomitas - Barra A - 5.2 - Cerro]]+TBL_CalcDarwin[[#This Row],[Lomitas - Barra A - 5.2 - Medio]]+TBL_CalcDarwin[[#This Row],[Lomitas - Barra A - 5.2 - Mar]]</f>
        <v>17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1.4449999999999998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2.09</v>
      </c>
      <c r="AS29" s="37">
        <f>TBL_CalcDarwin[[#This Row],[Expansión - Barra A - 5.2 - Cerro]]+TBL_CalcDarwin[[#This Row],[Expansión - Barra A - 5.2 - Medio]]+TBL_CalcDarwin[[#This Row],[Expansión - Barra A - 5.2 - Mar]]</f>
        <v>3</v>
      </c>
      <c r="AT29" s="37">
        <f>TBL_CalcDarwin[[#This Row],[Expansión - Barra B - 5.2 - Cerro]]</f>
        <v>3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29" s="29">
        <f>TBL_CalcDarwin[[#This Row],[Expansión - Barra B - 5.2 - Cerro]]*TBL_CalcDarwin[[#This Row],[AEG 5.2 MW Cerro]]</f>
        <v>0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45445.166666666606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1.31</v>
      </c>
      <c r="E30" s="34">
        <f>TBL_CalcDarwin[[#This Row],[PLOM MW TOTAL BARRA A]]+TBL_CalcDarwin[[#This Row],[PLOM MW TOTAL BARRA B]]</f>
        <v>1.31</v>
      </c>
      <c r="F30" s="34">
        <f>TBL_CalcDarwin[[#This Row],[PLOME MW TOTAL BARRA A]]+TBL_CalcDarwin[[#This Row],[PLOME MW TOTAL BARRA B]]</f>
        <v>0</v>
      </c>
      <c r="G30" s="48">
        <f>'Plantilla Datos'!D35</f>
        <v>1.9</v>
      </c>
      <c r="H30" s="48">
        <f>'Plantilla Datos'!E35</f>
        <v>2.7</v>
      </c>
      <c r="I30" s="49">
        <f>'Plantilla Datos'!F35</f>
        <v>15.6</v>
      </c>
      <c r="J30" s="47">
        <f>CEILING('Plantilla Datos'!$L$3*TBL_CalcDarwin[[#This Row],[Darwin Gusts
m/s]],0.5)</f>
        <v>2</v>
      </c>
      <c r="K30" s="47">
        <f>CEILING('Plantilla Datos'!$L$4*TBL_CalcDarwin[[#This Row],[Darwin Gusts
m/s]],0.5)</f>
        <v>2.5</v>
      </c>
      <c r="L30" s="47">
        <f>CEILING(TBL_CalcDarwin[[#This Row],[Darwin Gusts
m/s]],0.5)</f>
        <v>3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30" s="41">
        <f>INDEX(Curva_Temp[Temp],MATCH(TBL_CalcDarwin[[#This Row],[Darwin Temp.
°C]],Curva_Temp[Temp]))</f>
        <v>15</v>
      </c>
      <c r="R30" s="41">
        <f>INDEX(Curva_Temp[Warranted Power Curve for 
1.194Kg/m3 air density '[kW']
SG 5.0-145 (AM+1, 5.2MW) AT 
90M],MATCH(TBL_CalcDarwin[[#This Row],[Darwin Temp.
°C]],Curva_Temp[Temp]))</f>
        <v>5200</v>
      </c>
      <c r="S30" s="41" cm="1">
        <f t="array" ref="S30">INDEX(Curva_Temp[Temp],MATCH(TBL_CalcDarwin[[#This Row],[Darwin Temp.
°C]],Curva_Temp[Temp])+1)</f>
        <v>20</v>
      </c>
      <c r="T30" s="41" cm="1">
        <f t="array" ref="T30">INDEX(Curva_Temp[Warranted Power Curve for 
1.194Kg/m3 air density '[kW']
SG 5.0-145 (AM+1, 5.2MW) AT 
90M],MATCH(TBL_CalcDarwin[[#This Row],[Darwin Temp.
°C]],Curva_Temp[Temp])+1)</f>
        <v>5000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30" s="41">
        <f>INDEX(Curva_Temp[Temp],MATCH(TBL_CalcDarwin[[#This Row],[Darwin Temp.
°C]],Curva_Temp[Temp]))</f>
        <v>15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20</v>
      </c>
      <c r="AB30" s="41" cm="1">
        <f t="array" ref="AB30">INDEX(Curva_Temp[Warranted Power Curve for 
1.194Kg/m3 air density '[kW']
SG 5.0-145 (AM 0, 5.0MW) AT 
90M],MATCH(TBL_CalcDarwin[[#This Row],[Darwin Temp.
°C]],Curva_Temp[Temp])+1)</f>
        <v>5000</v>
      </c>
      <c r="AC30" s="45">
        <f>HLOOKUP(TBL_CalcDarwin[[#This Row],[Fecha]],'Plantilla AEG ES'!$E$1:$HX$13,2,FALSE)</f>
        <v>3</v>
      </c>
      <c r="AD30" s="45">
        <f>HLOOKUP(TBL_CalcDarwin[[#This Row],[Fecha]],'Plantilla AEG ES'!$E$1:$HX$13,3,FALSE)</f>
        <v>5</v>
      </c>
      <c r="AE30" s="45">
        <f>HLOOKUP(TBL_CalcDarwin[[#This Row],[Fecha]],'Plantilla AEG ES'!$E$1:$HX$13,4,FALSE)</f>
        <v>9</v>
      </c>
      <c r="AF30" s="45">
        <f>HLOOKUP(TBL_CalcDarwin[[#This Row],[Fecha]],'Plantilla AEG ES'!$E$1:$HX$13,5,FALSE)</f>
        <v>2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0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3</v>
      </c>
      <c r="AK30" s="46">
        <f>HLOOKUP(TBL_CalcDarwin[[#This Row],[Fecha]],'Plantilla AEG ES'!$E$1:$HX$13,10,FALSE)</f>
        <v>10</v>
      </c>
      <c r="AL30" s="46">
        <f>HLOOKUP(TBL_CalcDarwin[[#This Row],[Fecha]],'Plantilla AEG ES'!$E$1:$HX$13,11,FALSE)</f>
        <v>0</v>
      </c>
      <c r="AM30" s="46">
        <f>HLOOKUP(TBL_CalcDarwin[[#This Row],[Fecha]],'Plantilla AEG ES'!$E$1:$HX$13,12,FALSE)</f>
        <v>5</v>
      </c>
      <c r="AN30" s="46">
        <f>HLOOKUP(TBL_CalcDarwin[[#This Row],[Fecha]],'Plantilla AEG ES'!$E$1:$HX$13,13,FALSE)</f>
        <v>3</v>
      </c>
      <c r="AO30" s="37">
        <f>TBL_CalcDarwin[[#This Row],[Lomitas - Barra A - 5.2 - Cerro]]+TBL_CalcDarwin[[#This Row],[Lomitas - Barra A - 5.2 - Medio]]+TBL_CalcDarwin[[#This Row],[Lomitas - Barra A - 5.2 - Mar]]</f>
        <v>17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0.495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0.81500000000000006</v>
      </c>
      <c r="AS30" s="37">
        <f>TBL_CalcDarwin[[#This Row],[Expansión - Barra A - 5.2 - Cerro]]+TBL_CalcDarwin[[#This Row],[Expansión - Barra A - 5.2 - Medio]]+TBL_CalcDarwin[[#This Row],[Expansión - Barra A - 5.2 - Mar]]</f>
        <v>3</v>
      </c>
      <c r="AT30" s="37">
        <f>TBL_CalcDarwin[[#This Row],[Expansión - Barra B - 5.2 - Cerro]]</f>
        <v>3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0" s="29">
        <f>TBL_CalcDarwin[[#This Row],[Expansión - Barra B - 5.2 - Cerro]]*TBL_CalcDarwin[[#This Row],[AEG 5.2 MW Cerro]]</f>
        <v>0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45445.20833333327</v>
      </c>
      <c r="C31" s="17">
        <f t="shared" si="3"/>
        <v>1.2083333333333333</v>
      </c>
      <c r="D31" s="34">
        <f>TBL_CalcDarwin[[#This Row],[Darwin PLOM
MW]]+TBL_CalcDarwin[[#This Row],[Darwin PLOME
MW]]</f>
        <v>0</v>
      </c>
      <c r="E31" s="34">
        <f>TBL_CalcDarwin[[#This Row],[PLOM MW TOTAL BARRA A]]+TBL_CalcDarwin[[#This Row],[PLOM MW TOTAL BARRA B]]</f>
        <v>0</v>
      </c>
      <c r="F31" s="34">
        <f>TBL_CalcDarwin[[#This Row],[PLOME MW TOTAL BARRA A]]+TBL_CalcDarwin[[#This Row],[PLOME MW TOTAL BARRA B]]</f>
        <v>0</v>
      </c>
      <c r="G31" s="48">
        <f>'Plantilla Datos'!D36</f>
        <v>1.7</v>
      </c>
      <c r="H31" s="48">
        <f>'Plantilla Datos'!E36</f>
        <v>2.5</v>
      </c>
      <c r="I31" s="49">
        <f>'Plantilla Datos'!F36</f>
        <v>15.6</v>
      </c>
      <c r="J31" s="47">
        <f>CEILING('Plantilla Datos'!$L$3*TBL_CalcDarwin[[#This Row],[Darwin Gusts
m/s]],0.5)</f>
        <v>2</v>
      </c>
      <c r="K31" s="47">
        <f>CEILING('Plantilla Datos'!$L$4*TBL_CalcDarwin[[#This Row],[Darwin Gusts
m/s]],0.5)</f>
        <v>2.5</v>
      </c>
      <c r="L31" s="47">
        <f>CEILING(TBL_CalcDarwin[[#This Row],[Darwin Gusts
m/s]],0.5)</f>
        <v>2.5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31" s="41">
        <f>INDEX(Curva_Temp[Temp],MATCH(TBL_CalcDarwin[[#This Row],[Darwin Temp.
°C]],Curva_Temp[Temp]))</f>
        <v>15</v>
      </c>
      <c r="R31" s="41">
        <f>INDEX(Curva_Temp[Warranted Power Curve for 
1.194Kg/m3 air density '[kW']
SG 5.0-145 (AM+1, 5.2MW) AT 
90M],MATCH(TBL_CalcDarwin[[#This Row],[Darwin Temp.
°C]],Curva_Temp[Temp]))</f>
        <v>5200</v>
      </c>
      <c r="S31" s="41" cm="1">
        <f t="array" ref="S31">INDEX(Curva_Temp[Temp],MATCH(TBL_CalcDarwin[[#This Row],[Darwin Temp.
°C]],Curva_Temp[Temp])+1)</f>
        <v>20</v>
      </c>
      <c r="T31" s="41" cm="1">
        <f t="array" ref="T31">INDEX(Curva_Temp[Warranted Power Curve for 
1.194Kg/m3 air density '[kW']
SG 5.0-145 (AM+1, 5.2MW) AT 
90M],MATCH(TBL_CalcDarwin[[#This Row],[Darwin Temp.
°C]],Curva_Temp[Temp])+1)</f>
        <v>5000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31" s="41">
        <f>INDEX(Curva_Temp[Temp],MATCH(TBL_CalcDarwin[[#This Row],[Darwin Temp.
°C]],Curva_Temp[Temp]))</f>
        <v>15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20</v>
      </c>
      <c r="AB31" s="41" cm="1">
        <f t="array" ref="AB31">INDEX(Curva_Temp[Warranted Power Curve for 
1.194Kg/m3 air density '[kW']
SG 5.0-145 (AM 0, 5.0MW) AT 
90M],MATCH(TBL_CalcDarwin[[#This Row],[Darwin Temp.
°C]],Curva_Temp[Temp])+1)</f>
        <v>5000</v>
      </c>
      <c r="AC31" s="45">
        <f>HLOOKUP(TBL_CalcDarwin[[#This Row],[Fecha]],'Plantilla AEG ES'!$E$1:$HX$13,2,FALSE)</f>
        <v>3</v>
      </c>
      <c r="AD31" s="45">
        <f>HLOOKUP(TBL_CalcDarwin[[#This Row],[Fecha]],'Plantilla AEG ES'!$E$1:$HX$13,3,FALSE)</f>
        <v>5</v>
      </c>
      <c r="AE31" s="45">
        <f>HLOOKUP(TBL_CalcDarwin[[#This Row],[Fecha]],'Plantilla AEG ES'!$E$1:$HX$13,4,FALSE)</f>
        <v>9</v>
      </c>
      <c r="AF31" s="45">
        <f>HLOOKUP(TBL_CalcDarwin[[#This Row],[Fecha]],'Plantilla AEG ES'!$E$1:$HX$13,5,FALSE)</f>
        <v>2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0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3</v>
      </c>
      <c r="AK31" s="46">
        <f>HLOOKUP(TBL_CalcDarwin[[#This Row],[Fecha]],'Plantilla AEG ES'!$E$1:$HX$13,10,FALSE)</f>
        <v>10</v>
      </c>
      <c r="AL31" s="46">
        <f>HLOOKUP(TBL_CalcDarwin[[#This Row],[Fecha]],'Plantilla AEG ES'!$E$1:$HX$13,11,FALSE)</f>
        <v>0</v>
      </c>
      <c r="AM31" s="46">
        <f>HLOOKUP(TBL_CalcDarwin[[#This Row],[Fecha]],'Plantilla AEG ES'!$E$1:$HX$13,12,FALSE)</f>
        <v>5</v>
      </c>
      <c r="AN31" s="46">
        <f>HLOOKUP(TBL_CalcDarwin[[#This Row],[Fecha]],'Plantilla AEG ES'!$E$1:$HX$13,13,FALSE)</f>
        <v>3</v>
      </c>
      <c r="AO31" s="37">
        <f>TBL_CalcDarwin[[#This Row],[Lomitas - Barra A - 5.2 - Cerro]]+TBL_CalcDarwin[[#This Row],[Lomitas - Barra A - 5.2 - Medio]]+TBL_CalcDarwin[[#This Row],[Lomitas - Barra A - 5.2 - Mar]]</f>
        <v>17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31" s="37">
        <f>TBL_CalcDarwin[[#This Row],[Expansión - Barra A - 5.2 - Cerro]]+TBL_CalcDarwin[[#This Row],[Expansión - Barra A - 5.2 - Medio]]+TBL_CalcDarwin[[#This Row],[Expansión - Barra A - 5.2 - Mar]]</f>
        <v>3</v>
      </c>
      <c r="AT31" s="37">
        <f>TBL_CalcDarwin[[#This Row],[Expansión - Barra B - 5.2 - Cerro]]</f>
        <v>3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1" s="29">
        <f>TBL_CalcDarwin[[#This Row],[Expansión - Barra B - 5.2 - Cerro]]*TBL_CalcDarwin[[#This Row],[AEG 5.2 MW Cerro]]</f>
        <v>0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45445.249999999935</v>
      </c>
      <c r="C32" s="17">
        <f t="shared" si="3"/>
        <v>1.25</v>
      </c>
      <c r="D32" s="34">
        <f>TBL_CalcDarwin[[#This Row],[Darwin PLOM
MW]]+TBL_CalcDarwin[[#This Row],[Darwin PLOME
MW]]</f>
        <v>0</v>
      </c>
      <c r="E32" s="34">
        <f>TBL_CalcDarwin[[#This Row],[PLOM MW TOTAL BARRA A]]+TBL_CalcDarwin[[#This Row],[PLOM MW TOTAL BARRA B]]</f>
        <v>0</v>
      </c>
      <c r="F32" s="34">
        <f>TBL_CalcDarwin[[#This Row],[PLOME MW TOTAL BARRA A]]+TBL_CalcDarwin[[#This Row],[PLOME MW TOTAL BARRA B]]</f>
        <v>0</v>
      </c>
      <c r="G32" s="48">
        <f>'Plantilla Datos'!D37</f>
        <v>1.6</v>
      </c>
      <c r="H32" s="48">
        <f>'Plantilla Datos'!E37</f>
        <v>2.4</v>
      </c>
      <c r="I32" s="49">
        <f>'Plantilla Datos'!F37</f>
        <v>15.8</v>
      </c>
      <c r="J32" s="47">
        <f>CEILING('Plantilla Datos'!$L$3*TBL_CalcDarwin[[#This Row],[Darwin Gusts
m/s]],0.5)</f>
        <v>2</v>
      </c>
      <c r="K32" s="47">
        <f>CEILING('Plantilla Datos'!$L$4*TBL_CalcDarwin[[#This Row],[Darwin Gusts
m/s]],0.5)</f>
        <v>2.5</v>
      </c>
      <c r="L32" s="47">
        <f>CEILING(TBL_CalcDarwin[[#This Row],[Darwin Gusts
m/s]],0.5)</f>
        <v>2.5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32" s="41">
        <f>INDEX(Curva_Temp[Temp],MATCH(TBL_CalcDarwin[[#This Row],[Darwin Temp.
°C]],Curva_Temp[Temp]))</f>
        <v>15</v>
      </c>
      <c r="R32" s="41">
        <f>INDEX(Curva_Temp[Warranted Power Curve for 
1.194Kg/m3 air density '[kW']
SG 5.0-145 (AM+1, 5.2MW) AT 
90M],MATCH(TBL_CalcDarwin[[#This Row],[Darwin Temp.
°C]],Curva_Temp[Temp]))</f>
        <v>5200</v>
      </c>
      <c r="S32" s="41" cm="1">
        <f t="array" ref="S32">INDEX(Curva_Temp[Temp],MATCH(TBL_CalcDarwin[[#This Row],[Darwin Temp.
°C]],Curva_Temp[Temp])+1)</f>
        <v>20</v>
      </c>
      <c r="T32" s="41" cm="1">
        <f t="array" ref="T32">INDEX(Curva_Temp[Warranted Power Curve for 
1.194Kg/m3 air density '[kW']
SG 5.0-145 (AM+1, 5.2MW) AT 
90M],MATCH(TBL_CalcDarwin[[#This Row],[Darwin Temp.
°C]],Curva_Temp[Temp])+1)</f>
        <v>5000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32" s="41">
        <f>INDEX(Curva_Temp[Temp],MATCH(TBL_CalcDarwin[[#This Row],[Darwin Temp.
°C]],Curva_Temp[Temp]))</f>
        <v>15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20</v>
      </c>
      <c r="AB32" s="41" cm="1">
        <f t="array" ref="AB32">INDEX(Curva_Temp[Warranted Power Curve for 
1.194Kg/m3 air density '[kW']
SG 5.0-145 (AM 0, 5.0MW) AT 
90M],MATCH(TBL_CalcDarwin[[#This Row],[Darwin Temp.
°C]],Curva_Temp[Temp])+1)</f>
        <v>5000</v>
      </c>
      <c r="AC32" s="45">
        <f>HLOOKUP(TBL_CalcDarwin[[#This Row],[Fecha]],'Plantilla AEG ES'!$E$1:$HX$13,2,FALSE)</f>
        <v>3</v>
      </c>
      <c r="AD32" s="45">
        <f>HLOOKUP(TBL_CalcDarwin[[#This Row],[Fecha]],'Plantilla AEG ES'!$E$1:$HX$13,3,FALSE)</f>
        <v>5</v>
      </c>
      <c r="AE32" s="45">
        <f>HLOOKUP(TBL_CalcDarwin[[#This Row],[Fecha]],'Plantilla AEG ES'!$E$1:$HX$13,4,FALSE)</f>
        <v>9</v>
      </c>
      <c r="AF32" s="45">
        <f>HLOOKUP(TBL_CalcDarwin[[#This Row],[Fecha]],'Plantilla AEG ES'!$E$1:$HX$13,5,FALSE)</f>
        <v>2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0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3</v>
      </c>
      <c r="AK32" s="46">
        <f>HLOOKUP(TBL_CalcDarwin[[#This Row],[Fecha]],'Plantilla AEG ES'!$E$1:$HX$13,10,FALSE)</f>
        <v>10</v>
      </c>
      <c r="AL32" s="46">
        <f>HLOOKUP(TBL_CalcDarwin[[#This Row],[Fecha]],'Plantilla AEG ES'!$E$1:$HX$13,11,FALSE)</f>
        <v>0</v>
      </c>
      <c r="AM32" s="46">
        <f>HLOOKUP(TBL_CalcDarwin[[#This Row],[Fecha]],'Plantilla AEG ES'!$E$1:$HX$13,12,FALSE)</f>
        <v>5</v>
      </c>
      <c r="AN32" s="46">
        <f>HLOOKUP(TBL_CalcDarwin[[#This Row],[Fecha]],'Plantilla AEG ES'!$E$1:$HX$13,13,FALSE)</f>
        <v>3</v>
      </c>
      <c r="AO32" s="37">
        <f>TBL_CalcDarwin[[#This Row],[Lomitas - Barra A - 5.2 - Cerro]]+TBL_CalcDarwin[[#This Row],[Lomitas - Barra A - 5.2 - Medio]]+TBL_CalcDarwin[[#This Row],[Lomitas - Barra A - 5.2 - Mar]]</f>
        <v>17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32" s="37">
        <f>TBL_CalcDarwin[[#This Row],[Expansión - Barra A - 5.2 - Cerro]]+TBL_CalcDarwin[[#This Row],[Expansión - Barra A - 5.2 - Medio]]+TBL_CalcDarwin[[#This Row],[Expansión - Barra A - 5.2 - Mar]]</f>
        <v>3</v>
      </c>
      <c r="AT32" s="37">
        <f>TBL_CalcDarwin[[#This Row],[Expansión - Barra B - 5.2 - Cerro]]</f>
        <v>3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2" s="29">
        <f>TBL_CalcDarwin[[#This Row],[Expansión - Barra B - 5.2 - Cerro]]*TBL_CalcDarwin[[#This Row],[AEG 5.2 MW Cerro]]</f>
        <v>0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45445.291666666599</v>
      </c>
      <c r="C33" s="17">
        <f t="shared" si="3"/>
        <v>1.2916666666666667</v>
      </c>
      <c r="D33" s="34">
        <f>TBL_CalcDarwin[[#This Row],[Darwin PLOM
MW]]+TBL_CalcDarwin[[#This Row],[Darwin PLOME
MW]]</f>
        <v>0</v>
      </c>
      <c r="E33" s="34">
        <f>TBL_CalcDarwin[[#This Row],[PLOM MW TOTAL BARRA A]]+TBL_CalcDarwin[[#This Row],[PLOM MW TOTAL BARRA B]]</f>
        <v>0</v>
      </c>
      <c r="F33" s="34">
        <f>TBL_CalcDarwin[[#This Row],[PLOME MW TOTAL BARRA A]]+TBL_CalcDarwin[[#This Row],[PLOME MW TOTAL BARRA B]]</f>
        <v>0</v>
      </c>
      <c r="G33" s="48">
        <f>'Plantilla Datos'!D38</f>
        <v>1.5</v>
      </c>
      <c r="H33" s="48">
        <f>'Plantilla Datos'!E38</f>
        <v>2.2999999999999998</v>
      </c>
      <c r="I33" s="49">
        <f>'Plantilla Datos'!F38</f>
        <v>16.100000000000001</v>
      </c>
      <c r="J33" s="47">
        <f>CEILING('Plantilla Datos'!$L$3*TBL_CalcDarwin[[#This Row],[Darwin Gusts
m/s]],0.5)</f>
        <v>2</v>
      </c>
      <c r="K33" s="47">
        <f>CEILING('Plantilla Datos'!$L$4*TBL_CalcDarwin[[#This Row],[Darwin Gusts
m/s]],0.5)</f>
        <v>2</v>
      </c>
      <c r="L33" s="47">
        <f>CEILING(TBL_CalcDarwin[[#This Row],[Darwin Gusts
m/s]],0.5)</f>
        <v>2.5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33" s="41">
        <f>INDEX(Curva_Temp[Temp],MATCH(TBL_CalcDarwin[[#This Row],[Darwin Temp.
°C]],Curva_Temp[Temp]))</f>
        <v>15</v>
      </c>
      <c r="R33" s="41">
        <f>INDEX(Curva_Temp[Warranted Power Curve for 
1.194Kg/m3 air density '[kW']
SG 5.0-145 (AM+1, 5.2MW) AT 
90M],MATCH(TBL_CalcDarwin[[#This Row],[Darwin Temp.
°C]],Curva_Temp[Temp]))</f>
        <v>5200</v>
      </c>
      <c r="S33" s="41" cm="1">
        <f t="array" ref="S33">INDEX(Curva_Temp[Temp],MATCH(TBL_CalcDarwin[[#This Row],[Darwin Temp.
°C]],Curva_Temp[Temp])+1)</f>
        <v>20</v>
      </c>
      <c r="T33" s="41" cm="1">
        <f t="array" ref="T33">INDEX(Curva_Temp[Warranted Power Curve for 
1.194Kg/m3 air density '[kW']
SG 5.0-145 (AM+1, 5.2MW) AT 
90M],MATCH(TBL_CalcDarwin[[#This Row],[Darwin Temp.
°C]],Curva_Temp[Temp])+1)</f>
        <v>5000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33" s="41">
        <f>INDEX(Curva_Temp[Temp],MATCH(TBL_CalcDarwin[[#This Row],[Darwin Temp.
°C]],Curva_Temp[Temp]))</f>
        <v>15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20</v>
      </c>
      <c r="AB33" s="41" cm="1">
        <f t="array" ref="AB33">INDEX(Curva_Temp[Warranted Power Curve for 
1.194Kg/m3 air density '[kW']
SG 5.0-145 (AM 0, 5.0MW) AT 
90M],MATCH(TBL_CalcDarwin[[#This Row],[Darwin Temp.
°C]],Curva_Temp[Temp])+1)</f>
        <v>5000</v>
      </c>
      <c r="AC33" s="45">
        <f>HLOOKUP(TBL_CalcDarwin[[#This Row],[Fecha]],'Plantilla AEG ES'!$E$1:$HX$13,2,FALSE)</f>
        <v>3</v>
      </c>
      <c r="AD33" s="45">
        <f>HLOOKUP(TBL_CalcDarwin[[#This Row],[Fecha]],'Plantilla AEG ES'!$E$1:$HX$13,3,FALSE)</f>
        <v>5</v>
      </c>
      <c r="AE33" s="45">
        <f>HLOOKUP(TBL_CalcDarwin[[#This Row],[Fecha]],'Plantilla AEG ES'!$E$1:$HX$13,4,FALSE)</f>
        <v>9</v>
      </c>
      <c r="AF33" s="45">
        <f>HLOOKUP(TBL_CalcDarwin[[#This Row],[Fecha]],'Plantilla AEG ES'!$E$1:$HX$13,5,FALSE)</f>
        <v>2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0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3</v>
      </c>
      <c r="AK33" s="46">
        <f>HLOOKUP(TBL_CalcDarwin[[#This Row],[Fecha]],'Plantilla AEG ES'!$E$1:$HX$13,10,FALSE)</f>
        <v>10</v>
      </c>
      <c r="AL33" s="46">
        <f>HLOOKUP(TBL_CalcDarwin[[#This Row],[Fecha]],'Plantilla AEG ES'!$E$1:$HX$13,11,FALSE)</f>
        <v>0</v>
      </c>
      <c r="AM33" s="46">
        <f>HLOOKUP(TBL_CalcDarwin[[#This Row],[Fecha]],'Plantilla AEG ES'!$E$1:$HX$13,12,FALSE)</f>
        <v>5</v>
      </c>
      <c r="AN33" s="46">
        <f>HLOOKUP(TBL_CalcDarwin[[#This Row],[Fecha]],'Plantilla AEG ES'!$E$1:$HX$13,13,FALSE)</f>
        <v>3</v>
      </c>
      <c r="AO33" s="37">
        <f>TBL_CalcDarwin[[#This Row],[Lomitas - Barra A - 5.2 - Cerro]]+TBL_CalcDarwin[[#This Row],[Lomitas - Barra A - 5.2 - Medio]]+TBL_CalcDarwin[[#This Row],[Lomitas - Barra A - 5.2 - Mar]]</f>
        <v>17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33" s="37">
        <f>TBL_CalcDarwin[[#This Row],[Expansión - Barra A - 5.2 - Cerro]]+TBL_CalcDarwin[[#This Row],[Expansión - Barra A - 5.2 - Medio]]+TBL_CalcDarwin[[#This Row],[Expansión - Barra A - 5.2 - Mar]]</f>
        <v>3</v>
      </c>
      <c r="AT33" s="37">
        <f>TBL_CalcDarwin[[#This Row],[Expansión - Barra B - 5.2 - Cerro]]</f>
        <v>3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3" s="29">
        <f>TBL_CalcDarwin[[#This Row],[Expansión - Barra B - 5.2 - Cerro]]*TBL_CalcDarwin[[#This Row],[AEG 5.2 MW Cerro]]</f>
        <v>0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45445.333333333263</v>
      </c>
      <c r="C34" s="17">
        <f t="shared" si="3"/>
        <v>1.3333333333333335</v>
      </c>
      <c r="D34" s="34">
        <f>TBL_CalcDarwin[[#This Row],[Darwin PLOM
MW]]+TBL_CalcDarwin[[#This Row],[Darwin PLOME
MW]]</f>
        <v>1.31</v>
      </c>
      <c r="E34" s="34">
        <f>TBL_CalcDarwin[[#This Row],[PLOM MW TOTAL BARRA A]]+TBL_CalcDarwin[[#This Row],[PLOM MW TOTAL BARRA B]]</f>
        <v>1.31</v>
      </c>
      <c r="F34" s="34">
        <f>TBL_CalcDarwin[[#This Row],[PLOME MW TOTAL BARRA A]]+TBL_CalcDarwin[[#This Row],[PLOME MW TOTAL BARRA B]]</f>
        <v>0</v>
      </c>
      <c r="G34" s="48">
        <f>'Plantilla Datos'!D39</f>
        <v>2.1</v>
      </c>
      <c r="H34" s="48">
        <f>'Plantilla Datos'!E39</f>
        <v>2.9</v>
      </c>
      <c r="I34" s="49">
        <f>'Plantilla Datos'!F39</f>
        <v>16.399999999999999</v>
      </c>
      <c r="J34" s="47">
        <f>CEILING('Plantilla Datos'!$L$3*TBL_CalcDarwin[[#This Row],[Darwin Gusts
m/s]],0.5)</f>
        <v>2.5</v>
      </c>
      <c r="K34" s="47">
        <f>CEILING('Plantilla Datos'!$L$4*TBL_CalcDarwin[[#This Row],[Darwin Gusts
m/s]],0.5)</f>
        <v>2.5</v>
      </c>
      <c r="L34" s="47">
        <f>CEILING(TBL_CalcDarwin[[#This Row],[Darwin Gusts
m/s]],0.5)</f>
        <v>3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34" s="41">
        <f>INDEX(Curva_Temp[Temp],MATCH(TBL_CalcDarwin[[#This Row],[Darwin Temp.
°C]],Curva_Temp[Temp]))</f>
        <v>15</v>
      </c>
      <c r="R34" s="41">
        <f>INDEX(Curva_Temp[Warranted Power Curve for 
1.194Kg/m3 air density '[kW']
SG 5.0-145 (AM+1, 5.2MW) AT 
90M],MATCH(TBL_CalcDarwin[[#This Row],[Darwin Temp.
°C]],Curva_Temp[Temp]))</f>
        <v>5200</v>
      </c>
      <c r="S34" s="41" cm="1">
        <f t="array" ref="S34">INDEX(Curva_Temp[Temp],MATCH(TBL_CalcDarwin[[#This Row],[Darwin Temp.
°C]],Curva_Temp[Temp])+1)</f>
        <v>20</v>
      </c>
      <c r="T34" s="41" cm="1">
        <f t="array" ref="T34">INDEX(Curva_Temp[Warranted Power Curve for 
1.194Kg/m3 air density '[kW']
SG 5.0-145 (AM+1, 5.2MW) AT 
90M],MATCH(TBL_CalcDarwin[[#This Row],[Darwin Temp.
°C]],Curva_Temp[Temp])+1)</f>
        <v>5000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34" s="41">
        <f>INDEX(Curva_Temp[Temp],MATCH(TBL_CalcDarwin[[#This Row],[Darwin Temp.
°C]],Curva_Temp[Temp]))</f>
        <v>15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20</v>
      </c>
      <c r="AB34" s="41" cm="1">
        <f t="array" ref="AB34">INDEX(Curva_Temp[Warranted Power Curve for 
1.194Kg/m3 air density '[kW']
SG 5.0-145 (AM 0, 5.0MW) AT 
90M],MATCH(TBL_CalcDarwin[[#This Row],[Darwin Temp.
°C]],Curva_Temp[Temp])+1)</f>
        <v>5000</v>
      </c>
      <c r="AC34" s="45">
        <f>HLOOKUP(TBL_CalcDarwin[[#This Row],[Fecha]],'Plantilla AEG ES'!$E$1:$HX$13,2,FALSE)</f>
        <v>3</v>
      </c>
      <c r="AD34" s="45">
        <f>HLOOKUP(TBL_CalcDarwin[[#This Row],[Fecha]],'Plantilla AEG ES'!$E$1:$HX$13,3,FALSE)</f>
        <v>5</v>
      </c>
      <c r="AE34" s="45">
        <f>HLOOKUP(TBL_CalcDarwin[[#This Row],[Fecha]],'Plantilla AEG ES'!$E$1:$HX$13,4,FALSE)</f>
        <v>9</v>
      </c>
      <c r="AF34" s="45">
        <f>HLOOKUP(TBL_CalcDarwin[[#This Row],[Fecha]],'Plantilla AEG ES'!$E$1:$HX$13,5,FALSE)</f>
        <v>2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0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3</v>
      </c>
      <c r="AK34" s="46">
        <f>HLOOKUP(TBL_CalcDarwin[[#This Row],[Fecha]],'Plantilla AEG ES'!$E$1:$HX$13,10,FALSE)</f>
        <v>10</v>
      </c>
      <c r="AL34" s="46">
        <f>HLOOKUP(TBL_CalcDarwin[[#This Row],[Fecha]],'Plantilla AEG ES'!$E$1:$HX$13,11,FALSE)</f>
        <v>0</v>
      </c>
      <c r="AM34" s="46">
        <f>HLOOKUP(TBL_CalcDarwin[[#This Row],[Fecha]],'Plantilla AEG ES'!$E$1:$HX$13,12,FALSE)</f>
        <v>5</v>
      </c>
      <c r="AN34" s="46">
        <f>HLOOKUP(TBL_CalcDarwin[[#This Row],[Fecha]],'Plantilla AEG ES'!$E$1:$HX$13,13,FALSE)</f>
        <v>3</v>
      </c>
      <c r="AO34" s="37">
        <f>TBL_CalcDarwin[[#This Row],[Lomitas - Barra A - 5.2 - Cerro]]+TBL_CalcDarwin[[#This Row],[Lomitas - Barra A - 5.2 - Medio]]+TBL_CalcDarwin[[#This Row],[Lomitas - Barra A - 5.2 - Mar]]</f>
        <v>17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0.495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0.81500000000000006</v>
      </c>
      <c r="AS34" s="37">
        <f>TBL_CalcDarwin[[#This Row],[Expansión - Barra A - 5.2 - Cerro]]+TBL_CalcDarwin[[#This Row],[Expansión - Barra A - 5.2 - Medio]]+TBL_CalcDarwin[[#This Row],[Expansión - Barra A - 5.2 - Mar]]</f>
        <v>3</v>
      </c>
      <c r="AT34" s="37">
        <f>TBL_CalcDarwin[[#This Row],[Expansión - Barra B - 5.2 - Cerro]]</f>
        <v>3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4" s="29">
        <f>TBL_CalcDarwin[[#This Row],[Expansión - Barra B - 5.2 - Cerro]]*TBL_CalcDarwin[[#This Row],[AEG 5.2 MW Cerro]]</f>
        <v>0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45445.374999999927</v>
      </c>
      <c r="C35" s="17">
        <f t="shared" si="3"/>
        <v>1.3750000000000002</v>
      </c>
      <c r="D35" s="34">
        <f>TBL_CalcDarwin[[#This Row],[Darwin PLOM
MW]]+TBL_CalcDarwin[[#This Row],[Darwin PLOME
MW]]</f>
        <v>7.4110000000000005</v>
      </c>
      <c r="E35" s="34">
        <f>TBL_CalcDarwin[[#This Row],[PLOM MW TOTAL BARRA A]]+TBL_CalcDarwin[[#This Row],[PLOM MW TOTAL BARRA B]]</f>
        <v>7.0060000000000002</v>
      </c>
      <c r="F35" s="34">
        <f>TBL_CalcDarwin[[#This Row],[PLOME MW TOTAL BARRA A]]+TBL_CalcDarwin[[#This Row],[PLOME MW TOTAL BARRA B]]</f>
        <v>0.40500000000000003</v>
      </c>
      <c r="G35" s="48">
        <f>'Plantilla Datos'!D40</f>
        <v>2.7</v>
      </c>
      <c r="H35" s="48">
        <f>'Plantilla Datos'!E40</f>
        <v>3.7</v>
      </c>
      <c r="I35" s="49">
        <f>'Plantilla Datos'!F40</f>
        <v>16.8</v>
      </c>
      <c r="J35" s="47">
        <f>CEILING('Plantilla Datos'!$L$3*TBL_CalcDarwin[[#This Row],[Darwin Gusts
m/s]],0.5)</f>
        <v>3</v>
      </c>
      <c r="K35" s="47">
        <f>CEILING('Plantilla Datos'!$L$4*TBL_CalcDarwin[[#This Row],[Darwin Gusts
m/s]],0.5)</f>
        <v>3.5</v>
      </c>
      <c r="L35" s="47">
        <f>CEILING(TBL_CalcDarwin[[#This Row],[Darwin Gusts
m/s]],0.5)</f>
        <v>4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35" s="41">
        <f>INDEX(Curva_Temp[Temp],MATCH(TBL_CalcDarwin[[#This Row],[Darwin Temp.
°C]],Curva_Temp[Temp]))</f>
        <v>15</v>
      </c>
      <c r="R35" s="41">
        <f>INDEX(Curva_Temp[Warranted Power Curve for 
1.194Kg/m3 air density '[kW']
SG 5.0-145 (AM+1, 5.2MW) AT 
90M],MATCH(TBL_CalcDarwin[[#This Row],[Darwin Temp.
°C]],Curva_Temp[Temp]))</f>
        <v>5200</v>
      </c>
      <c r="S35" s="41" cm="1">
        <f t="array" ref="S35">INDEX(Curva_Temp[Temp],MATCH(TBL_CalcDarwin[[#This Row],[Darwin Temp.
°C]],Curva_Temp[Temp])+1)</f>
        <v>20</v>
      </c>
      <c r="T35" s="41" cm="1">
        <f t="array" ref="T35">INDEX(Curva_Temp[Warranted Power Curve for 
1.194Kg/m3 air density '[kW']
SG 5.0-145 (AM+1, 5.2MW) AT 
90M],MATCH(TBL_CalcDarwin[[#This Row],[Darwin Temp.
°C]],Curva_Temp[Temp])+1)</f>
        <v>5000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35" s="41">
        <f>INDEX(Curva_Temp[Temp],MATCH(TBL_CalcDarwin[[#This Row],[Darwin Temp.
°C]],Curva_Temp[Temp]))</f>
        <v>15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20</v>
      </c>
      <c r="AB35" s="41" cm="1">
        <f t="array" ref="AB35">INDEX(Curva_Temp[Warranted Power Curve for 
1.194Kg/m3 air density '[kW']
SG 5.0-145 (AM 0, 5.0MW) AT 
90M],MATCH(TBL_CalcDarwin[[#This Row],[Darwin Temp.
°C]],Curva_Temp[Temp])+1)</f>
        <v>5000</v>
      </c>
      <c r="AC35" s="45">
        <f>HLOOKUP(TBL_CalcDarwin[[#This Row],[Fecha]],'Plantilla AEG ES'!$E$1:$HX$13,2,FALSE)</f>
        <v>3</v>
      </c>
      <c r="AD35" s="45">
        <f>HLOOKUP(TBL_CalcDarwin[[#This Row],[Fecha]],'Plantilla AEG ES'!$E$1:$HX$13,3,FALSE)</f>
        <v>5</v>
      </c>
      <c r="AE35" s="45">
        <f>HLOOKUP(TBL_CalcDarwin[[#This Row],[Fecha]],'Plantilla AEG ES'!$E$1:$HX$13,4,FALSE)</f>
        <v>9</v>
      </c>
      <c r="AF35" s="45">
        <f>HLOOKUP(TBL_CalcDarwin[[#This Row],[Fecha]],'Plantilla AEG ES'!$E$1:$HX$13,5,FALSE)</f>
        <v>2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0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3</v>
      </c>
      <c r="AK35" s="46">
        <f>HLOOKUP(TBL_CalcDarwin[[#This Row],[Fecha]],'Plantilla AEG ES'!$E$1:$HX$13,10,FALSE)</f>
        <v>10</v>
      </c>
      <c r="AL35" s="46">
        <f>HLOOKUP(TBL_CalcDarwin[[#This Row],[Fecha]],'Plantilla AEG ES'!$E$1:$HX$13,11,FALSE)</f>
        <v>0</v>
      </c>
      <c r="AM35" s="46">
        <f>HLOOKUP(TBL_CalcDarwin[[#This Row],[Fecha]],'Plantilla AEG ES'!$E$1:$HX$13,12,FALSE)</f>
        <v>5</v>
      </c>
      <c r="AN35" s="46">
        <f>HLOOKUP(TBL_CalcDarwin[[#This Row],[Fecha]],'Plantilla AEG ES'!$E$1:$HX$13,13,FALSE)</f>
        <v>3</v>
      </c>
      <c r="AO35" s="37">
        <f>TBL_CalcDarwin[[#This Row],[Lomitas - Barra A - 5.2 - Cerro]]+TBL_CalcDarwin[[#This Row],[Lomitas - Barra A - 5.2 - Medio]]+TBL_CalcDarwin[[#This Row],[Lomitas - Barra A - 5.2 - Mar]]</f>
        <v>17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3.0109999999999997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3.9950000000000001</v>
      </c>
      <c r="AS35" s="37">
        <f>TBL_CalcDarwin[[#This Row],[Expansión - Barra A - 5.2 - Cerro]]+TBL_CalcDarwin[[#This Row],[Expansión - Barra A - 5.2 - Medio]]+TBL_CalcDarwin[[#This Row],[Expansión - Barra A - 5.2 - Mar]]</f>
        <v>3</v>
      </c>
      <c r="AT35" s="37">
        <f>TBL_CalcDarwin[[#This Row],[Expansión - Barra B - 5.2 - Cerro]]</f>
        <v>3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35" s="29">
        <f>TBL_CalcDarwin[[#This Row],[Expansión - Barra B - 5.2 - Cerro]]*TBL_CalcDarwin[[#This Row],[AEG 5.2 MW Cerro]]</f>
        <v>0.16500000000000001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45445.416666666591</v>
      </c>
      <c r="C36" s="17">
        <f t="shared" si="3"/>
        <v>1.416666666666667</v>
      </c>
      <c r="D36" s="34">
        <f>TBL_CalcDarwin[[#This Row],[Darwin PLOM
MW]]+TBL_CalcDarwin[[#This Row],[Darwin PLOME
MW]]</f>
        <v>12.349</v>
      </c>
      <c r="E36" s="34">
        <f>TBL_CalcDarwin[[#This Row],[PLOM MW TOTAL BARRA A]]+TBL_CalcDarwin[[#This Row],[PLOM MW TOTAL BARRA B]]</f>
        <v>11.455</v>
      </c>
      <c r="F36" s="34">
        <f>TBL_CalcDarwin[[#This Row],[PLOME MW TOTAL BARRA A]]+TBL_CalcDarwin[[#This Row],[PLOME MW TOTAL BARRA B]]</f>
        <v>0.89400000000000002</v>
      </c>
      <c r="G36" s="48">
        <f>'Plantilla Datos'!D41</f>
        <v>3.4</v>
      </c>
      <c r="H36" s="48">
        <f>'Plantilla Datos'!E41</f>
        <v>4.4000000000000004</v>
      </c>
      <c r="I36" s="49">
        <f>'Plantilla Datos'!F41</f>
        <v>17.2</v>
      </c>
      <c r="J36" s="47">
        <f>CEILING('Plantilla Datos'!$L$3*TBL_CalcDarwin[[#This Row],[Darwin Gusts
m/s]],0.5)</f>
        <v>3.5</v>
      </c>
      <c r="K36" s="47">
        <f>CEILING('Plantilla Datos'!$L$4*TBL_CalcDarwin[[#This Row],[Darwin Gusts
m/s]],0.5)</f>
        <v>4</v>
      </c>
      <c r="L36" s="47">
        <f>CEILING(TBL_CalcDarwin[[#This Row],[Darwin Gusts
m/s]],0.5)</f>
        <v>4.5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36" s="41">
        <f>INDEX(Curva_Temp[Temp],MATCH(TBL_CalcDarwin[[#This Row],[Darwin Temp.
°C]],Curva_Temp[Temp]))</f>
        <v>15</v>
      </c>
      <c r="R36" s="41">
        <f>INDEX(Curva_Temp[Warranted Power Curve for 
1.194Kg/m3 air density '[kW']
SG 5.0-145 (AM+1, 5.2MW) AT 
90M],MATCH(TBL_CalcDarwin[[#This Row],[Darwin Temp.
°C]],Curva_Temp[Temp]))</f>
        <v>5200</v>
      </c>
      <c r="S36" s="41" cm="1">
        <f t="array" ref="S36">INDEX(Curva_Temp[Temp],MATCH(TBL_CalcDarwin[[#This Row],[Darwin Temp.
°C]],Curva_Temp[Temp])+1)</f>
        <v>20</v>
      </c>
      <c r="T36" s="41" cm="1">
        <f t="array" ref="T36">INDEX(Curva_Temp[Warranted Power Curve for 
1.194Kg/m3 air density '[kW']
SG 5.0-145 (AM+1, 5.2MW) AT 
90M],MATCH(TBL_CalcDarwin[[#This Row],[Darwin Temp.
°C]],Curva_Temp[Temp])+1)</f>
        <v>5000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36" s="41">
        <f>INDEX(Curva_Temp[Temp],MATCH(TBL_CalcDarwin[[#This Row],[Darwin Temp.
°C]],Curva_Temp[Temp]))</f>
        <v>15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20</v>
      </c>
      <c r="AB36" s="41" cm="1">
        <f t="array" ref="AB36">INDEX(Curva_Temp[Warranted Power Curve for 
1.194Kg/m3 air density '[kW']
SG 5.0-145 (AM 0, 5.0MW) AT 
90M],MATCH(TBL_CalcDarwin[[#This Row],[Darwin Temp.
°C]],Curva_Temp[Temp])+1)</f>
        <v>5000</v>
      </c>
      <c r="AC36" s="45">
        <f>HLOOKUP(TBL_CalcDarwin[[#This Row],[Fecha]],'Plantilla AEG ES'!$E$1:$HX$13,2,FALSE)</f>
        <v>3</v>
      </c>
      <c r="AD36" s="45">
        <f>HLOOKUP(TBL_CalcDarwin[[#This Row],[Fecha]],'Plantilla AEG ES'!$E$1:$HX$13,3,FALSE)</f>
        <v>5</v>
      </c>
      <c r="AE36" s="45">
        <f>HLOOKUP(TBL_CalcDarwin[[#This Row],[Fecha]],'Plantilla AEG ES'!$E$1:$HX$13,4,FALSE)</f>
        <v>9</v>
      </c>
      <c r="AF36" s="45">
        <f>HLOOKUP(TBL_CalcDarwin[[#This Row],[Fecha]],'Plantilla AEG ES'!$E$1:$HX$13,5,FALSE)</f>
        <v>2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0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3</v>
      </c>
      <c r="AK36" s="46">
        <f>HLOOKUP(TBL_CalcDarwin[[#This Row],[Fecha]],'Plantilla AEG ES'!$E$1:$HX$13,10,FALSE)</f>
        <v>10</v>
      </c>
      <c r="AL36" s="46">
        <f>HLOOKUP(TBL_CalcDarwin[[#This Row],[Fecha]],'Plantilla AEG ES'!$E$1:$HX$13,11,FALSE)</f>
        <v>0</v>
      </c>
      <c r="AM36" s="46">
        <f>HLOOKUP(TBL_CalcDarwin[[#This Row],[Fecha]],'Plantilla AEG ES'!$E$1:$HX$13,12,FALSE)</f>
        <v>5</v>
      </c>
      <c r="AN36" s="46">
        <f>HLOOKUP(TBL_CalcDarwin[[#This Row],[Fecha]],'Plantilla AEG ES'!$E$1:$HX$13,13,FALSE)</f>
        <v>3</v>
      </c>
      <c r="AO36" s="37">
        <f>TBL_CalcDarwin[[#This Row],[Lomitas - Barra A - 5.2 - Cerro]]+TBL_CalcDarwin[[#This Row],[Lomitas - Barra A - 5.2 - Medio]]+TBL_CalcDarwin[[#This Row],[Lomitas - Barra A - 5.2 - Mar]]</f>
        <v>17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5.048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6.407</v>
      </c>
      <c r="AS36" s="37">
        <f>TBL_CalcDarwin[[#This Row],[Expansión - Barra A - 5.2 - Cerro]]+TBL_CalcDarwin[[#This Row],[Expansión - Barra A - 5.2 - Medio]]+TBL_CalcDarwin[[#This Row],[Expansión - Barra A - 5.2 - Mar]]</f>
        <v>3</v>
      </c>
      <c r="AT36" s="37">
        <f>TBL_CalcDarwin[[#This Row],[Expansión - Barra B - 5.2 - Cerro]]</f>
        <v>3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36" s="29">
        <f>TBL_CalcDarwin[[#This Row],[Expansión - Barra B - 5.2 - Cerro]]*TBL_CalcDarwin[[#This Row],[AEG 5.2 MW Cerro]]</f>
        <v>0.39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45445.458333333256</v>
      </c>
      <c r="C37" s="17">
        <f t="shared" si="3"/>
        <v>1.4583333333333337</v>
      </c>
      <c r="D37" s="34">
        <f>TBL_CalcDarwin[[#This Row],[Darwin PLOM
MW]]+TBL_CalcDarwin[[#This Row],[Darwin PLOME
MW]]</f>
        <v>23.250000000000004</v>
      </c>
      <c r="E37" s="34">
        <f>TBL_CalcDarwin[[#This Row],[PLOM MW TOTAL BARRA A]]+TBL_CalcDarwin[[#This Row],[PLOM MW TOTAL BARRA B]]</f>
        <v>21.648000000000003</v>
      </c>
      <c r="F37" s="34">
        <f>TBL_CalcDarwin[[#This Row],[PLOME MW TOTAL BARRA A]]+TBL_CalcDarwin[[#This Row],[PLOME MW TOTAL BARRA B]]</f>
        <v>1.6019999999999999</v>
      </c>
      <c r="G37" s="48">
        <f>'Plantilla Datos'!D42</f>
        <v>3.9</v>
      </c>
      <c r="H37" s="48">
        <f>'Plantilla Datos'!E42</f>
        <v>5.0999999999999996</v>
      </c>
      <c r="I37" s="49">
        <f>'Plantilla Datos'!F42</f>
        <v>17.600000000000001</v>
      </c>
      <c r="J37" s="47">
        <f>CEILING('Plantilla Datos'!$L$3*TBL_CalcDarwin[[#This Row],[Darwin Gusts
m/s]],0.5)</f>
        <v>4</v>
      </c>
      <c r="K37" s="47">
        <f>CEILING('Plantilla Datos'!$L$4*TBL_CalcDarwin[[#This Row],[Darwin Gusts
m/s]],0.5)</f>
        <v>4.5</v>
      </c>
      <c r="L37" s="47">
        <f>CEILING(TBL_CalcDarwin[[#This Row],[Darwin Gusts
m/s]],0.5)</f>
        <v>5.5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37" s="41">
        <f>INDEX(Curva_Temp[Temp],MATCH(TBL_CalcDarwin[[#This Row],[Darwin Temp.
°C]],Curva_Temp[Temp]))</f>
        <v>15</v>
      </c>
      <c r="R37" s="41">
        <f>INDEX(Curva_Temp[Warranted Power Curve for 
1.194Kg/m3 air density '[kW']
SG 5.0-145 (AM+1, 5.2MW) AT 
90M],MATCH(TBL_CalcDarwin[[#This Row],[Darwin Temp.
°C]],Curva_Temp[Temp]))</f>
        <v>5200</v>
      </c>
      <c r="S37" s="41" cm="1">
        <f t="array" ref="S37">INDEX(Curva_Temp[Temp],MATCH(TBL_CalcDarwin[[#This Row],[Darwin Temp.
°C]],Curva_Temp[Temp])+1)</f>
        <v>20</v>
      </c>
      <c r="T37" s="41" cm="1">
        <f t="array" ref="T37">INDEX(Curva_Temp[Warranted Power Curve for 
1.194Kg/m3 air density '[kW']
SG 5.0-145 (AM+1, 5.2MW) AT 
90M],MATCH(TBL_CalcDarwin[[#This Row],[Darwin Temp.
°C]],Curva_Temp[Temp])+1)</f>
        <v>5000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37" s="41">
        <f>INDEX(Curva_Temp[Temp],MATCH(TBL_CalcDarwin[[#This Row],[Darwin Temp.
°C]],Curva_Temp[Temp]))</f>
        <v>15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20</v>
      </c>
      <c r="AB37" s="41" cm="1">
        <f t="array" ref="AB37">INDEX(Curva_Temp[Warranted Power Curve for 
1.194Kg/m3 air density '[kW']
SG 5.0-145 (AM 0, 5.0MW) AT 
90M],MATCH(TBL_CalcDarwin[[#This Row],[Darwin Temp.
°C]],Curva_Temp[Temp])+1)</f>
        <v>5000</v>
      </c>
      <c r="AC37" s="45">
        <f>HLOOKUP(TBL_CalcDarwin[[#This Row],[Fecha]],'Plantilla AEG ES'!$E$1:$HX$13,2,FALSE)</f>
        <v>3</v>
      </c>
      <c r="AD37" s="45">
        <f>HLOOKUP(TBL_CalcDarwin[[#This Row],[Fecha]],'Plantilla AEG ES'!$E$1:$HX$13,3,FALSE)</f>
        <v>5</v>
      </c>
      <c r="AE37" s="45">
        <f>HLOOKUP(TBL_CalcDarwin[[#This Row],[Fecha]],'Plantilla AEG ES'!$E$1:$HX$13,4,FALSE)</f>
        <v>9</v>
      </c>
      <c r="AF37" s="45">
        <f>HLOOKUP(TBL_CalcDarwin[[#This Row],[Fecha]],'Plantilla AEG ES'!$E$1:$HX$13,5,FALSE)</f>
        <v>2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0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3</v>
      </c>
      <c r="AK37" s="46">
        <f>HLOOKUP(TBL_CalcDarwin[[#This Row],[Fecha]],'Plantilla AEG ES'!$E$1:$HX$13,10,FALSE)</f>
        <v>10</v>
      </c>
      <c r="AL37" s="46">
        <f>HLOOKUP(TBL_CalcDarwin[[#This Row],[Fecha]],'Plantilla AEG ES'!$E$1:$HX$13,11,FALSE)</f>
        <v>0</v>
      </c>
      <c r="AM37" s="46">
        <f>HLOOKUP(TBL_CalcDarwin[[#This Row],[Fecha]],'Plantilla AEG ES'!$E$1:$HX$13,12,FALSE)</f>
        <v>5</v>
      </c>
      <c r="AN37" s="46">
        <f>HLOOKUP(TBL_CalcDarwin[[#This Row],[Fecha]],'Plantilla AEG ES'!$E$1:$HX$13,13,FALSE)</f>
        <v>3</v>
      </c>
      <c r="AO37" s="37">
        <f>TBL_CalcDarwin[[#This Row],[Lomitas - Barra A - 5.2 - Cerro]]+TBL_CalcDarwin[[#This Row],[Lomitas - Barra A - 5.2 - Medio]]+TBL_CalcDarwin[[#This Row],[Lomitas - Barra A - 5.2 - Mar]]</f>
        <v>17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9.3470000000000013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12.301</v>
      </c>
      <c r="AS37" s="37">
        <f>TBL_CalcDarwin[[#This Row],[Expansión - Barra A - 5.2 - Cerro]]+TBL_CalcDarwin[[#This Row],[Expansión - Barra A - 5.2 - Medio]]+TBL_CalcDarwin[[#This Row],[Expansión - Barra A - 5.2 - Mar]]</f>
        <v>3</v>
      </c>
      <c r="AT37" s="37">
        <f>TBL_CalcDarwin[[#This Row],[Expansión - Barra B - 5.2 - Cerro]]</f>
        <v>3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37" s="29">
        <f>TBL_CalcDarwin[[#This Row],[Expansión - Barra B - 5.2 - Cerro]]*TBL_CalcDarwin[[#This Row],[AEG 5.2 MW Cerro]]</f>
        <v>0.73199999999999998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45445.49999999992</v>
      </c>
      <c r="C38" s="17">
        <f t="shared" si="3"/>
        <v>1.5000000000000004</v>
      </c>
      <c r="D38" s="34">
        <f>TBL_CalcDarwin[[#This Row],[Darwin PLOM
MW]]+TBL_CalcDarwin[[#This Row],[Darwin PLOME
MW]]</f>
        <v>31.566000000000003</v>
      </c>
      <c r="E38" s="34">
        <f>TBL_CalcDarwin[[#This Row],[PLOM MW TOTAL BARRA A]]+TBL_CalcDarwin[[#This Row],[PLOM MW TOTAL BARRA B]]</f>
        <v>29.109000000000002</v>
      </c>
      <c r="F38" s="34">
        <f>TBL_CalcDarwin[[#This Row],[PLOME MW TOTAL BARRA A]]+TBL_CalcDarwin[[#This Row],[PLOME MW TOTAL BARRA B]]</f>
        <v>2.4569999999999999</v>
      </c>
      <c r="G38" s="48">
        <f>'Plantilla Datos'!D43</f>
        <v>4.4000000000000004</v>
      </c>
      <c r="H38" s="48">
        <f>'Plantilla Datos'!E43</f>
        <v>5.7</v>
      </c>
      <c r="I38" s="49">
        <f>'Plantilla Datos'!F43</f>
        <v>18</v>
      </c>
      <c r="J38" s="47">
        <f>CEILING('Plantilla Datos'!$L$3*TBL_CalcDarwin[[#This Row],[Darwin Gusts
m/s]],0.5)</f>
        <v>4.5</v>
      </c>
      <c r="K38" s="47">
        <f>CEILING('Plantilla Datos'!$L$4*TBL_CalcDarwin[[#This Row],[Darwin Gusts
m/s]],0.5)</f>
        <v>5</v>
      </c>
      <c r="L38" s="47">
        <f>CEILING(TBL_CalcDarwin[[#This Row],[Darwin Gusts
m/s]],0.5)</f>
        <v>6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38" s="41">
        <f>INDEX(Curva_Temp[Temp],MATCH(TBL_CalcDarwin[[#This Row],[Darwin Temp.
°C]],Curva_Temp[Temp]))</f>
        <v>15</v>
      </c>
      <c r="R38" s="41">
        <f>INDEX(Curva_Temp[Warranted Power Curve for 
1.194Kg/m3 air density '[kW']
SG 5.0-145 (AM+1, 5.2MW) AT 
90M],MATCH(TBL_CalcDarwin[[#This Row],[Darwin Temp.
°C]],Curva_Temp[Temp]))</f>
        <v>5200</v>
      </c>
      <c r="S38" s="41" cm="1">
        <f t="array" ref="S38">INDEX(Curva_Temp[Temp],MATCH(TBL_CalcDarwin[[#This Row],[Darwin Temp.
°C]],Curva_Temp[Temp])+1)</f>
        <v>20</v>
      </c>
      <c r="T38" s="41" cm="1">
        <f t="array" ref="T38">INDEX(Curva_Temp[Warranted Power Curve for 
1.194Kg/m3 air density '[kW']
SG 5.0-145 (AM+1, 5.2MW) AT 
90M],MATCH(TBL_CalcDarwin[[#This Row],[Darwin Temp.
°C]],Curva_Temp[Temp])+1)</f>
        <v>5000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38" s="41">
        <f>INDEX(Curva_Temp[Temp],MATCH(TBL_CalcDarwin[[#This Row],[Darwin Temp.
°C]],Curva_Temp[Temp]))</f>
        <v>15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20</v>
      </c>
      <c r="AB38" s="41" cm="1">
        <f t="array" ref="AB38">INDEX(Curva_Temp[Warranted Power Curve for 
1.194Kg/m3 air density '[kW']
SG 5.0-145 (AM 0, 5.0MW) AT 
90M],MATCH(TBL_CalcDarwin[[#This Row],[Darwin Temp.
°C]],Curva_Temp[Temp])+1)</f>
        <v>5000</v>
      </c>
      <c r="AC38" s="45">
        <f>HLOOKUP(TBL_CalcDarwin[[#This Row],[Fecha]],'Plantilla AEG ES'!$E$1:$HX$13,2,FALSE)</f>
        <v>3</v>
      </c>
      <c r="AD38" s="45">
        <f>HLOOKUP(TBL_CalcDarwin[[#This Row],[Fecha]],'Plantilla AEG ES'!$E$1:$HX$13,3,FALSE)</f>
        <v>5</v>
      </c>
      <c r="AE38" s="45">
        <f>HLOOKUP(TBL_CalcDarwin[[#This Row],[Fecha]],'Plantilla AEG ES'!$E$1:$HX$13,4,FALSE)</f>
        <v>9</v>
      </c>
      <c r="AF38" s="45">
        <f>HLOOKUP(TBL_CalcDarwin[[#This Row],[Fecha]],'Plantilla AEG ES'!$E$1:$HX$13,5,FALSE)</f>
        <v>2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0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3</v>
      </c>
      <c r="AK38" s="46">
        <f>HLOOKUP(TBL_CalcDarwin[[#This Row],[Fecha]],'Plantilla AEG ES'!$E$1:$HX$13,10,FALSE)</f>
        <v>10</v>
      </c>
      <c r="AL38" s="46">
        <f>HLOOKUP(TBL_CalcDarwin[[#This Row],[Fecha]],'Plantilla AEG ES'!$E$1:$HX$13,11,FALSE)</f>
        <v>0</v>
      </c>
      <c r="AM38" s="46">
        <f>HLOOKUP(TBL_CalcDarwin[[#This Row],[Fecha]],'Plantilla AEG ES'!$E$1:$HX$13,12,FALSE)</f>
        <v>5</v>
      </c>
      <c r="AN38" s="46">
        <f>HLOOKUP(TBL_CalcDarwin[[#This Row],[Fecha]],'Plantilla AEG ES'!$E$1:$HX$13,13,FALSE)</f>
        <v>3</v>
      </c>
      <c r="AO38" s="37">
        <f>TBL_CalcDarwin[[#This Row],[Lomitas - Barra A - 5.2 - Cerro]]+TBL_CalcDarwin[[#This Row],[Lomitas - Barra A - 5.2 - Medio]]+TBL_CalcDarwin[[#This Row],[Lomitas - Barra A - 5.2 - Mar]]</f>
        <v>17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12.728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16.381</v>
      </c>
      <c r="AS38" s="37">
        <f>TBL_CalcDarwin[[#This Row],[Expansión - Barra A - 5.2 - Cerro]]+TBL_CalcDarwin[[#This Row],[Expansión - Barra A - 5.2 - Medio]]+TBL_CalcDarwin[[#This Row],[Expansión - Barra A - 5.2 - Mar]]</f>
        <v>3</v>
      </c>
      <c r="AT38" s="37">
        <f>TBL_CalcDarwin[[#This Row],[Expansión - Barra B - 5.2 - Cerro]]</f>
        <v>3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38" s="29">
        <f>TBL_CalcDarwin[[#This Row],[Expansión - Barra B - 5.2 - Cerro]]*TBL_CalcDarwin[[#This Row],[AEG 5.2 MW Cerro]]</f>
        <v>1.1459999999999999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45445.541666666584</v>
      </c>
      <c r="C39" s="17">
        <f t="shared" si="3"/>
        <v>1.5416666666666672</v>
      </c>
      <c r="D39" s="34">
        <f>TBL_CalcDarwin[[#This Row],[Darwin PLOM
MW]]+TBL_CalcDarwin[[#This Row],[Darwin PLOME
MW]]</f>
        <v>41.459999999999994</v>
      </c>
      <c r="E39" s="34">
        <f>TBL_CalcDarwin[[#This Row],[PLOM MW TOTAL BARRA A]]+TBL_CalcDarwin[[#This Row],[PLOM MW TOTAL BARRA B]]</f>
        <v>37.979999999999997</v>
      </c>
      <c r="F39" s="34">
        <f>TBL_CalcDarwin[[#This Row],[PLOME MW TOTAL BARRA A]]+TBL_CalcDarwin[[#This Row],[PLOME MW TOTAL BARRA B]]</f>
        <v>3.48</v>
      </c>
      <c r="G39" s="48">
        <f>'Plantilla Datos'!D44</f>
        <v>5</v>
      </c>
      <c r="H39" s="48">
        <f>'Plantilla Datos'!E44</f>
        <v>6.4</v>
      </c>
      <c r="I39" s="49">
        <f>'Plantilla Datos'!F44</f>
        <v>18.399999999999999</v>
      </c>
      <c r="J39" s="47">
        <f>CEILING('Plantilla Datos'!$L$3*TBL_CalcDarwin[[#This Row],[Darwin Gusts
m/s]],0.5)</f>
        <v>5</v>
      </c>
      <c r="K39" s="47">
        <f>CEILING('Plantilla Datos'!$L$4*TBL_CalcDarwin[[#This Row],[Darwin Gusts
m/s]],0.5)</f>
        <v>5.5</v>
      </c>
      <c r="L39" s="47">
        <f>CEILING(TBL_CalcDarwin[[#This Row],[Darwin Gusts
m/s]],0.5)</f>
        <v>6.5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39" s="41">
        <f>INDEX(Curva_Temp[Temp],MATCH(TBL_CalcDarwin[[#This Row],[Darwin Temp.
°C]],Curva_Temp[Temp]))</f>
        <v>15</v>
      </c>
      <c r="R39" s="41">
        <f>INDEX(Curva_Temp[Warranted Power Curve for 
1.194Kg/m3 air density '[kW']
SG 5.0-145 (AM+1, 5.2MW) AT 
90M],MATCH(TBL_CalcDarwin[[#This Row],[Darwin Temp.
°C]],Curva_Temp[Temp]))</f>
        <v>5200</v>
      </c>
      <c r="S39" s="41" cm="1">
        <f t="array" ref="S39">INDEX(Curva_Temp[Temp],MATCH(TBL_CalcDarwin[[#This Row],[Darwin Temp.
°C]],Curva_Temp[Temp])+1)</f>
        <v>20</v>
      </c>
      <c r="T39" s="41" cm="1">
        <f t="array" ref="T39">INDEX(Curva_Temp[Warranted Power Curve for 
1.194Kg/m3 air density '[kW']
SG 5.0-145 (AM+1, 5.2MW) AT 
90M],MATCH(TBL_CalcDarwin[[#This Row],[Darwin Temp.
°C]],Curva_Temp[Temp])+1)</f>
        <v>5000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39" s="41">
        <f>INDEX(Curva_Temp[Temp],MATCH(TBL_CalcDarwin[[#This Row],[Darwin Temp.
°C]],Curva_Temp[Temp]))</f>
        <v>15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20</v>
      </c>
      <c r="AB39" s="41" cm="1">
        <f t="array" ref="AB39">INDEX(Curva_Temp[Warranted Power Curve for 
1.194Kg/m3 air density '[kW']
SG 5.0-145 (AM 0, 5.0MW) AT 
90M],MATCH(TBL_CalcDarwin[[#This Row],[Darwin Temp.
°C]],Curva_Temp[Temp])+1)</f>
        <v>5000</v>
      </c>
      <c r="AC39" s="45">
        <f>HLOOKUP(TBL_CalcDarwin[[#This Row],[Fecha]],'Plantilla AEG ES'!$E$1:$HX$13,2,FALSE)</f>
        <v>3</v>
      </c>
      <c r="AD39" s="45">
        <f>HLOOKUP(TBL_CalcDarwin[[#This Row],[Fecha]],'Plantilla AEG ES'!$E$1:$HX$13,3,FALSE)</f>
        <v>5</v>
      </c>
      <c r="AE39" s="45">
        <f>HLOOKUP(TBL_CalcDarwin[[#This Row],[Fecha]],'Plantilla AEG ES'!$E$1:$HX$13,4,FALSE)</f>
        <v>9</v>
      </c>
      <c r="AF39" s="45">
        <f>HLOOKUP(TBL_CalcDarwin[[#This Row],[Fecha]],'Plantilla AEG ES'!$E$1:$HX$13,5,FALSE)</f>
        <v>2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0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3</v>
      </c>
      <c r="AK39" s="46">
        <f>HLOOKUP(TBL_CalcDarwin[[#This Row],[Fecha]],'Plantilla AEG ES'!$E$1:$HX$13,10,FALSE)</f>
        <v>10</v>
      </c>
      <c r="AL39" s="46">
        <f>HLOOKUP(TBL_CalcDarwin[[#This Row],[Fecha]],'Plantilla AEG ES'!$E$1:$HX$13,11,FALSE)</f>
        <v>0</v>
      </c>
      <c r="AM39" s="46">
        <f>HLOOKUP(TBL_CalcDarwin[[#This Row],[Fecha]],'Plantilla AEG ES'!$E$1:$HX$13,12,FALSE)</f>
        <v>5</v>
      </c>
      <c r="AN39" s="46">
        <f>HLOOKUP(TBL_CalcDarwin[[#This Row],[Fecha]],'Plantilla AEG ES'!$E$1:$HX$13,13,FALSE)</f>
        <v>3</v>
      </c>
      <c r="AO39" s="37">
        <f>TBL_CalcDarwin[[#This Row],[Lomitas - Barra A - 5.2 - Cerro]]+TBL_CalcDarwin[[#This Row],[Lomitas - Barra A - 5.2 - Medio]]+TBL_CalcDarwin[[#This Row],[Lomitas - Barra A - 5.2 - Mar]]</f>
        <v>17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16.759999999999998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21.22</v>
      </c>
      <c r="AS39" s="37">
        <f>TBL_CalcDarwin[[#This Row],[Expansión - Barra A - 5.2 - Cerro]]+TBL_CalcDarwin[[#This Row],[Expansión - Barra A - 5.2 - Medio]]+TBL_CalcDarwin[[#This Row],[Expansión - Barra A - 5.2 - Mar]]</f>
        <v>3</v>
      </c>
      <c r="AT39" s="37">
        <f>TBL_CalcDarwin[[#This Row],[Expansión - Barra B - 5.2 - Cerro]]</f>
        <v>3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1.839</v>
      </c>
      <c r="AV39" s="29">
        <f>TBL_CalcDarwin[[#This Row],[Expansión - Barra B - 5.2 - Cerro]]*TBL_CalcDarwin[[#This Row],[AEG 5.2 MW Cerro]]</f>
        <v>1.641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45445.583333333248</v>
      </c>
      <c r="C40" s="17">
        <f t="shared" si="3"/>
        <v>1.5833333333333339</v>
      </c>
      <c r="D40" s="34">
        <f>TBL_CalcDarwin[[#This Row],[Darwin PLOM
MW]]+TBL_CalcDarwin[[#This Row],[Darwin PLOME
MW]]</f>
        <v>41.459999999999994</v>
      </c>
      <c r="E40" s="34">
        <f>TBL_CalcDarwin[[#This Row],[PLOM MW TOTAL BARRA A]]+TBL_CalcDarwin[[#This Row],[PLOM MW TOTAL BARRA B]]</f>
        <v>37.979999999999997</v>
      </c>
      <c r="F40" s="34">
        <f>TBL_CalcDarwin[[#This Row],[PLOME MW TOTAL BARRA A]]+TBL_CalcDarwin[[#This Row],[PLOME MW TOTAL BARRA B]]</f>
        <v>3.48</v>
      </c>
      <c r="G40" s="48">
        <f>'Plantilla Datos'!D45</f>
        <v>5</v>
      </c>
      <c r="H40" s="48">
        <f>'Plantilla Datos'!E45</f>
        <v>6.4</v>
      </c>
      <c r="I40" s="49">
        <f>'Plantilla Datos'!F45</f>
        <v>18.3</v>
      </c>
      <c r="J40" s="47">
        <f>CEILING('Plantilla Datos'!$L$3*TBL_CalcDarwin[[#This Row],[Darwin Gusts
m/s]],0.5)</f>
        <v>5</v>
      </c>
      <c r="K40" s="47">
        <f>CEILING('Plantilla Datos'!$L$4*TBL_CalcDarwin[[#This Row],[Darwin Gusts
m/s]],0.5)</f>
        <v>5.5</v>
      </c>
      <c r="L40" s="47">
        <f>CEILING(TBL_CalcDarwin[[#This Row],[Darwin Gusts
m/s]],0.5)</f>
        <v>6.5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40" s="41">
        <f>INDEX(Curva_Temp[Temp],MATCH(TBL_CalcDarwin[[#This Row],[Darwin Temp.
°C]],Curva_Temp[Temp]))</f>
        <v>15</v>
      </c>
      <c r="R40" s="41">
        <f>INDEX(Curva_Temp[Warranted Power Curve for 
1.194Kg/m3 air density '[kW']
SG 5.0-145 (AM+1, 5.2MW) AT 
90M],MATCH(TBL_CalcDarwin[[#This Row],[Darwin Temp.
°C]],Curva_Temp[Temp]))</f>
        <v>5200</v>
      </c>
      <c r="S40" s="41" cm="1">
        <f t="array" ref="S40">INDEX(Curva_Temp[Temp],MATCH(TBL_CalcDarwin[[#This Row],[Darwin Temp.
°C]],Curva_Temp[Temp])+1)</f>
        <v>20</v>
      </c>
      <c r="T40" s="41" cm="1">
        <f t="array" ref="T40">INDEX(Curva_Temp[Warranted Power Curve for 
1.194Kg/m3 air density '[kW']
SG 5.0-145 (AM+1, 5.2MW) AT 
90M],MATCH(TBL_CalcDarwin[[#This Row],[Darwin Temp.
°C]],Curva_Temp[Temp])+1)</f>
        <v>5000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40" s="41">
        <f>INDEX(Curva_Temp[Temp],MATCH(TBL_CalcDarwin[[#This Row],[Darwin Temp.
°C]],Curva_Temp[Temp]))</f>
        <v>15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20</v>
      </c>
      <c r="AB40" s="41" cm="1">
        <f t="array" ref="AB40">INDEX(Curva_Temp[Warranted Power Curve for 
1.194Kg/m3 air density '[kW']
SG 5.0-145 (AM 0, 5.0MW) AT 
90M],MATCH(TBL_CalcDarwin[[#This Row],[Darwin Temp.
°C]],Curva_Temp[Temp])+1)</f>
        <v>5000</v>
      </c>
      <c r="AC40" s="45">
        <f>HLOOKUP(TBL_CalcDarwin[[#This Row],[Fecha]],'Plantilla AEG ES'!$E$1:$HX$13,2,FALSE)</f>
        <v>3</v>
      </c>
      <c r="AD40" s="45">
        <f>HLOOKUP(TBL_CalcDarwin[[#This Row],[Fecha]],'Plantilla AEG ES'!$E$1:$HX$13,3,FALSE)</f>
        <v>5</v>
      </c>
      <c r="AE40" s="45">
        <f>HLOOKUP(TBL_CalcDarwin[[#This Row],[Fecha]],'Plantilla AEG ES'!$E$1:$HX$13,4,FALSE)</f>
        <v>9</v>
      </c>
      <c r="AF40" s="45">
        <f>HLOOKUP(TBL_CalcDarwin[[#This Row],[Fecha]],'Plantilla AEG ES'!$E$1:$HX$13,5,FALSE)</f>
        <v>2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0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3</v>
      </c>
      <c r="AK40" s="46">
        <f>HLOOKUP(TBL_CalcDarwin[[#This Row],[Fecha]],'Plantilla AEG ES'!$E$1:$HX$13,10,FALSE)</f>
        <v>10</v>
      </c>
      <c r="AL40" s="46">
        <f>HLOOKUP(TBL_CalcDarwin[[#This Row],[Fecha]],'Plantilla AEG ES'!$E$1:$HX$13,11,FALSE)</f>
        <v>0</v>
      </c>
      <c r="AM40" s="46">
        <f>HLOOKUP(TBL_CalcDarwin[[#This Row],[Fecha]],'Plantilla AEG ES'!$E$1:$HX$13,12,FALSE)</f>
        <v>5</v>
      </c>
      <c r="AN40" s="46">
        <f>HLOOKUP(TBL_CalcDarwin[[#This Row],[Fecha]],'Plantilla AEG ES'!$E$1:$HX$13,13,FALSE)</f>
        <v>3</v>
      </c>
      <c r="AO40" s="37">
        <f>TBL_CalcDarwin[[#This Row],[Lomitas - Barra A - 5.2 - Cerro]]+TBL_CalcDarwin[[#This Row],[Lomitas - Barra A - 5.2 - Medio]]+TBL_CalcDarwin[[#This Row],[Lomitas - Barra A - 5.2 - Mar]]</f>
        <v>17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16.759999999999998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21.22</v>
      </c>
      <c r="AS40" s="37">
        <f>TBL_CalcDarwin[[#This Row],[Expansión - Barra A - 5.2 - Cerro]]+TBL_CalcDarwin[[#This Row],[Expansión - Barra A - 5.2 - Medio]]+TBL_CalcDarwin[[#This Row],[Expansión - Barra A - 5.2 - Mar]]</f>
        <v>3</v>
      </c>
      <c r="AT40" s="37">
        <f>TBL_CalcDarwin[[#This Row],[Expansión - Barra B - 5.2 - Cerro]]</f>
        <v>3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1.839</v>
      </c>
      <c r="AV40" s="29">
        <f>TBL_CalcDarwin[[#This Row],[Expansión - Barra B - 5.2 - Cerro]]*TBL_CalcDarwin[[#This Row],[AEG 5.2 MW Cerro]]</f>
        <v>1.641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45445.624999999913</v>
      </c>
      <c r="C41" s="17">
        <f t="shared" si="3"/>
        <v>1.6250000000000007</v>
      </c>
      <c r="D41" s="34">
        <f>TBL_CalcDarwin[[#This Row],[Darwin PLOM
MW]]+TBL_CalcDarwin[[#This Row],[Darwin PLOME
MW]]</f>
        <v>41.459999999999994</v>
      </c>
      <c r="E41" s="34">
        <f>TBL_CalcDarwin[[#This Row],[PLOM MW TOTAL BARRA A]]+TBL_CalcDarwin[[#This Row],[PLOM MW TOTAL BARRA B]]</f>
        <v>37.979999999999997</v>
      </c>
      <c r="F41" s="34">
        <f>TBL_CalcDarwin[[#This Row],[PLOME MW TOTAL BARRA A]]+TBL_CalcDarwin[[#This Row],[PLOME MW TOTAL BARRA B]]</f>
        <v>3.48</v>
      </c>
      <c r="G41" s="48">
        <f>'Plantilla Datos'!D46</f>
        <v>5</v>
      </c>
      <c r="H41" s="48">
        <f>'Plantilla Datos'!E46</f>
        <v>6.4</v>
      </c>
      <c r="I41" s="49">
        <f>'Plantilla Datos'!F46</f>
        <v>18.100000000000001</v>
      </c>
      <c r="J41" s="47">
        <f>CEILING('Plantilla Datos'!$L$3*TBL_CalcDarwin[[#This Row],[Darwin Gusts
m/s]],0.5)</f>
        <v>5</v>
      </c>
      <c r="K41" s="47">
        <f>CEILING('Plantilla Datos'!$L$4*TBL_CalcDarwin[[#This Row],[Darwin Gusts
m/s]],0.5)</f>
        <v>5.5</v>
      </c>
      <c r="L41" s="47">
        <f>CEILING(TBL_CalcDarwin[[#This Row],[Darwin Gusts
m/s]],0.5)</f>
        <v>6.5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41" s="41">
        <f>INDEX(Curva_Temp[Temp],MATCH(TBL_CalcDarwin[[#This Row],[Darwin Temp.
°C]],Curva_Temp[Temp]))</f>
        <v>15</v>
      </c>
      <c r="R41" s="41">
        <f>INDEX(Curva_Temp[Warranted Power Curve for 
1.194Kg/m3 air density '[kW']
SG 5.0-145 (AM+1, 5.2MW) AT 
90M],MATCH(TBL_CalcDarwin[[#This Row],[Darwin Temp.
°C]],Curva_Temp[Temp]))</f>
        <v>5200</v>
      </c>
      <c r="S41" s="41" cm="1">
        <f t="array" ref="S41">INDEX(Curva_Temp[Temp],MATCH(TBL_CalcDarwin[[#This Row],[Darwin Temp.
°C]],Curva_Temp[Temp])+1)</f>
        <v>20</v>
      </c>
      <c r="T41" s="41" cm="1">
        <f t="array" ref="T41">INDEX(Curva_Temp[Warranted Power Curve for 
1.194Kg/m3 air density '[kW']
SG 5.0-145 (AM+1, 5.2MW) AT 
90M],MATCH(TBL_CalcDarwin[[#This Row],[Darwin Temp.
°C]],Curva_Temp[Temp])+1)</f>
        <v>5000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41" s="41">
        <f>INDEX(Curva_Temp[Temp],MATCH(TBL_CalcDarwin[[#This Row],[Darwin Temp.
°C]],Curva_Temp[Temp]))</f>
        <v>15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20</v>
      </c>
      <c r="AB41" s="41" cm="1">
        <f t="array" ref="AB41">INDEX(Curva_Temp[Warranted Power Curve for 
1.194Kg/m3 air density '[kW']
SG 5.0-145 (AM 0, 5.0MW) AT 
90M],MATCH(TBL_CalcDarwin[[#This Row],[Darwin Temp.
°C]],Curva_Temp[Temp])+1)</f>
        <v>5000</v>
      </c>
      <c r="AC41" s="45">
        <f>HLOOKUP(TBL_CalcDarwin[[#This Row],[Fecha]],'Plantilla AEG ES'!$E$1:$HX$13,2,FALSE)</f>
        <v>3</v>
      </c>
      <c r="AD41" s="45">
        <f>HLOOKUP(TBL_CalcDarwin[[#This Row],[Fecha]],'Plantilla AEG ES'!$E$1:$HX$13,3,FALSE)</f>
        <v>5</v>
      </c>
      <c r="AE41" s="45">
        <f>HLOOKUP(TBL_CalcDarwin[[#This Row],[Fecha]],'Plantilla AEG ES'!$E$1:$HX$13,4,FALSE)</f>
        <v>9</v>
      </c>
      <c r="AF41" s="45">
        <f>HLOOKUP(TBL_CalcDarwin[[#This Row],[Fecha]],'Plantilla AEG ES'!$E$1:$HX$13,5,FALSE)</f>
        <v>2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0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3</v>
      </c>
      <c r="AK41" s="46">
        <f>HLOOKUP(TBL_CalcDarwin[[#This Row],[Fecha]],'Plantilla AEG ES'!$E$1:$HX$13,10,FALSE)</f>
        <v>10</v>
      </c>
      <c r="AL41" s="46">
        <f>HLOOKUP(TBL_CalcDarwin[[#This Row],[Fecha]],'Plantilla AEG ES'!$E$1:$HX$13,11,FALSE)</f>
        <v>0</v>
      </c>
      <c r="AM41" s="46">
        <f>HLOOKUP(TBL_CalcDarwin[[#This Row],[Fecha]],'Plantilla AEG ES'!$E$1:$HX$13,12,FALSE)</f>
        <v>5</v>
      </c>
      <c r="AN41" s="46">
        <f>HLOOKUP(TBL_CalcDarwin[[#This Row],[Fecha]],'Plantilla AEG ES'!$E$1:$HX$13,13,FALSE)</f>
        <v>3</v>
      </c>
      <c r="AO41" s="37">
        <f>TBL_CalcDarwin[[#This Row],[Lomitas - Barra A - 5.2 - Cerro]]+TBL_CalcDarwin[[#This Row],[Lomitas - Barra A - 5.2 - Medio]]+TBL_CalcDarwin[[#This Row],[Lomitas - Barra A - 5.2 - Mar]]</f>
        <v>17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16.759999999999998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21.22</v>
      </c>
      <c r="AS41" s="37">
        <f>TBL_CalcDarwin[[#This Row],[Expansión - Barra A - 5.2 - Cerro]]+TBL_CalcDarwin[[#This Row],[Expansión - Barra A - 5.2 - Medio]]+TBL_CalcDarwin[[#This Row],[Expansión - Barra A - 5.2 - Mar]]</f>
        <v>3</v>
      </c>
      <c r="AT41" s="37">
        <f>TBL_CalcDarwin[[#This Row],[Expansión - Barra B - 5.2 - Cerro]]</f>
        <v>3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1.839</v>
      </c>
      <c r="AV41" s="29">
        <f>TBL_CalcDarwin[[#This Row],[Expansión - Barra B - 5.2 - Cerro]]*TBL_CalcDarwin[[#This Row],[AEG 5.2 MW Cerro]]</f>
        <v>1.641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45445.666666666577</v>
      </c>
      <c r="C42" s="17">
        <f t="shared" si="3"/>
        <v>1.6666666666666674</v>
      </c>
      <c r="D42" s="34">
        <f>TBL_CalcDarwin[[#This Row],[Darwin PLOM
MW]]+TBL_CalcDarwin[[#This Row],[Darwin PLOME
MW]]</f>
        <v>41.459999999999994</v>
      </c>
      <c r="E42" s="34">
        <f>TBL_CalcDarwin[[#This Row],[PLOM MW TOTAL BARRA A]]+TBL_CalcDarwin[[#This Row],[PLOM MW TOTAL BARRA B]]</f>
        <v>37.979999999999997</v>
      </c>
      <c r="F42" s="34">
        <f>TBL_CalcDarwin[[#This Row],[PLOME MW TOTAL BARRA A]]+TBL_CalcDarwin[[#This Row],[PLOME MW TOTAL BARRA B]]</f>
        <v>3.48</v>
      </c>
      <c r="G42" s="48">
        <f>'Plantilla Datos'!D47</f>
        <v>5</v>
      </c>
      <c r="H42" s="48">
        <f>'Plantilla Datos'!E47</f>
        <v>6.4</v>
      </c>
      <c r="I42" s="49">
        <f>'Plantilla Datos'!F47</f>
        <v>18</v>
      </c>
      <c r="J42" s="47">
        <f>CEILING('Plantilla Datos'!$L$3*TBL_CalcDarwin[[#This Row],[Darwin Gusts
m/s]],0.5)</f>
        <v>5</v>
      </c>
      <c r="K42" s="47">
        <f>CEILING('Plantilla Datos'!$L$4*TBL_CalcDarwin[[#This Row],[Darwin Gusts
m/s]],0.5)</f>
        <v>5.5</v>
      </c>
      <c r="L42" s="47">
        <f>CEILING(TBL_CalcDarwin[[#This Row],[Darwin Gusts
m/s]],0.5)</f>
        <v>6.5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42" s="41">
        <f>INDEX(Curva_Temp[Temp],MATCH(TBL_CalcDarwin[[#This Row],[Darwin Temp.
°C]],Curva_Temp[Temp]))</f>
        <v>15</v>
      </c>
      <c r="R42" s="41">
        <f>INDEX(Curva_Temp[Warranted Power Curve for 
1.194Kg/m3 air density '[kW']
SG 5.0-145 (AM+1, 5.2MW) AT 
90M],MATCH(TBL_CalcDarwin[[#This Row],[Darwin Temp.
°C]],Curva_Temp[Temp]))</f>
        <v>5200</v>
      </c>
      <c r="S42" s="41" cm="1">
        <f t="array" ref="S42">INDEX(Curva_Temp[Temp],MATCH(TBL_CalcDarwin[[#This Row],[Darwin Temp.
°C]],Curva_Temp[Temp])+1)</f>
        <v>20</v>
      </c>
      <c r="T42" s="41" cm="1">
        <f t="array" ref="T42">INDEX(Curva_Temp[Warranted Power Curve for 
1.194Kg/m3 air density '[kW']
SG 5.0-145 (AM+1, 5.2MW) AT 
90M],MATCH(TBL_CalcDarwin[[#This Row],[Darwin Temp.
°C]],Curva_Temp[Temp])+1)</f>
        <v>5000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42" s="41">
        <f>INDEX(Curva_Temp[Temp],MATCH(TBL_CalcDarwin[[#This Row],[Darwin Temp.
°C]],Curva_Temp[Temp]))</f>
        <v>15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20</v>
      </c>
      <c r="AB42" s="41" cm="1">
        <f t="array" ref="AB42">INDEX(Curva_Temp[Warranted Power Curve for 
1.194Kg/m3 air density '[kW']
SG 5.0-145 (AM 0, 5.0MW) AT 
90M],MATCH(TBL_CalcDarwin[[#This Row],[Darwin Temp.
°C]],Curva_Temp[Temp])+1)</f>
        <v>5000</v>
      </c>
      <c r="AC42" s="45">
        <f>HLOOKUP(TBL_CalcDarwin[[#This Row],[Fecha]],'Plantilla AEG ES'!$E$1:$HX$13,2,FALSE)</f>
        <v>3</v>
      </c>
      <c r="AD42" s="45">
        <f>HLOOKUP(TBL_CalcDarwin[[#This Row],[Fecha]],'Plantilla AEG ES'!$E$1:$HX$13,3,FALSE)</f>
        <v>5</v>
      </c>
      <c r="AE42" s="45">
        <f>HLOOKUP(TBL_CalcDarwin[[#This Row],[Fecha]],'Plantilla AEG ES'!$E$1:$HX$13,4,FALSE)</f>
        <v>9</v>
      </c>
      <c r="AF42" s="45">
        <f>HLOOKUP(TBL_CalcDarwin[[#This Row],[Fecha]],'Plantilla AEG ES'!$E$1:$HX$13,5,FALSE)</f>
        <v>2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0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3</v>
      </c>
      <c r="AK42" s="46">
        <f>HLOOKUP(TBL_CalcDarwin[[#This Row],[Fecha]],'Plantilla AEG ES'!$E$1:$HX$13,10,FALSE)</f>
        <v>10</v>
      </c>
      <c r="AL42" s="46">
        <f>HLOOKUP(TBL_CalcDarwin[[#This Row],[Fecha]],'Plantilla AEG ES'!$E$1:$HX$13,11,FALSE)</f>
        <v>0</v>
      </c>
      <c r="AM42" s="46">
        <f>HLOOKUP(TBL_CalcDarwin[[#This Row],[Fecha]],'Plantilla AEG ES'!$E$1:$HX$13,12,FALSE)</f>
        <v>5</v>
      </c>
      <c r="AN42" s="46">
        <f>HLOOKUP(TBL_CalcDarwin[[#This Row],[Fecha]],'Plantilla AEG ES'!$E$1:$HX$13,13,FALSE)</f>
        <v>3</v>
      </c>
      <c r="AO42" s="37">
        <f>TBL_CalcDarwin[[#This Row],[Lomitas - Barra A - 5.2 - Cerro]]+TBL_CalcDarwin[[#This Row],[Lomitas - Barra A - 5.2 - Medio]]+TBL_CalcDarwin[[#This Row],[Lomitas - Barra A - 5.2 - Mar]]</f>
        <v>17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16.759999999999998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21.22</v>
      </c>
      <c r="AS42" s="37">
        <f>TBL_CalcDarwin[[#This Row],[Expansión - Barra A - 5.2 - Cerro]]+TBL_CalcDarwin[[#This Row],[Expansión - Barra A - 5.2 - Medio]]+TBL_CalcDarwin[[#This Row],[Expansión - Barra A - 5.2 - Mar]]</f>
        <v>3</v>
      </c>
      <c r="AT42" s="37">
        <f>TBL_CalcDarwin[[#This Row],[Expansión - Barra B - 5.2 - Cerro]]</f>
        <v>3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1.839</v>
      </c>
      <c r="AV42" s="29">
        <f>TBL_CalcDarwin[[#This Row],[Expansión - Barra B - 5.2 - Cerro]]*TBL_CalcDarwin[[#This Row],[AEG 5.2 MW Cerro]]</f>
        <v>1.641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45445.708333333241</v>
      </c>
      <c r="C43" s="17">
        <f t="shared" si="3"/>
        <v>1.7083333333333341</v>
      </c>
      <c r="D43" s="34">
        <f>TBL_CalcDarwin[[#This Row],[Darwin PLOM
MW]]+TBL_CalcDarwin[[#This Row],[Darwin PLOME
MW]]</f>
        <v>31.566000000000003</v>
      </c>
      <c r="E43" s="34">
        <f>TBL_CalcDarwin[[#This Row],[PLOM MW TOTAL BARRA A]]+TBL_CalcDarwin[[#This Row],[PLOM MW TOTAL BARRA B]]</f>
        <v>29.109000000000002</v>
      </c>
      <c r="F43" s="34">
        <f>TBL_CalcDarwin[[#This Row],[PLOME MW TOTAL BARRA A]]+TBL_CalcDarwin[[#This Row],[PLOME MW TOTAL BARRA B]]</f>
        <v>2.4569999999999999</v>
      </c>
      <c r="G43" s="48">
        <f>'Plantilla Datos'!D48</f>
        <v>4.5</v>
      </c>
      <c r="H43" s="48">
        <f>'Plantilla Datos'!E48</f>
        <v>5.8</v>
      </c>
      <c r="I43" s="49">
        <f>'Plantilla Datos'!F48</f>
        <v>17.899999999999999</v>
      </c>
      <c r="J43" s="47">
        <f>CEILING('Plantilla Datos'!$L$3*TBL_CalcDarwin[[#This Row],[Darwin Gusts
m/s]],0.5)</f>
        <v>4.5</v>
      </c>
      <c r="K43" s="47">
        <f>CEILING('Plantilla Datos'!$L$4*TBL_CalcDarwin[[#This Row],[Darwin Gusts
m/s]],0.5)</f>
        <v>5</v>
      </c>
      <c r="L43" s="47">
        <f>CEILING(TBL_CalcDarwin[[#This Row],[Darwin Gusts
m/s]],0.5)</f>
        <v>6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43" s="41">
        <f>INDEX(Curva_Temp[Temp],MATCH(TBL_CalcDarwin[[#This Row],[Darwin Temp.
°C]],Curva_Temp[Temp]))</f>
        <v>15</v>
      </c>
      <c r="R43" s="41">
        <f>INDEX(Curva_Temp[Warranted Power Curve for 
1.194Kg/m3 air density '[kW']
SG 5.0-145 (AM+1, 5.2MW) AT 
90M],MATCH(TBL_CalcDarwin[[#This Row],[Darwin Temp.
°C]],Curva_Temp[Temp]))</f>
        <v>5200</v>
      </c>
      <c r="S43" s="41" cm="1">
        <f t="array" ref="S43">INDEX(Curva_Temp[Temp],MATCH(TBL_CalcDarwin[[#This Row],[Darwin Temp.
°C]],Curva_Temp[Temp])+1)</f>
        <v>20</v>
      </c>
      <c r="T43" s="41" cm="1">
        <f t="array" ref="T43">INDEX(Curva_Temp[Warranted Power Curve for 
1.194Kg/m3 air density '[kW']
SG 5.0-145 (AM+1, 5.2MW) AT 
90M],MATCH(TBL_CalcDarwin[[#This Row],[Darwin Temp.
°C]],Curva_Temp[Temp])+1)</f>
        <v>5000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43" s="41">
        <f>INDEX(Curva_Temp[Temp],MATCH(TBL_CalcDarwin[[#This Row],[Darwin Temp.
°C]],Curva_Temp[Temp]))</f>
        <v>15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20</v>
      </c>
      <c r="AB43" s="41" cm="1">
        <f t="array" ref="AB43">INDEX(Curva_Temp[Warranted Power Curve for 
1.194Kg/m3 air density '[kW']
SG 5.0-145 (AM 0, 5.0MW) AT 
90M],MATCH(TBL_CalcDarwin[[#This Row],[Darwin Temp.
°C]],Curva_Temp[Temp])+1)</f>
        <v>5000</v>
      </c>
      <c r="AC43" s="45">
        <f>HLOOKUP(TBL_CalcDarwin[[#This Row],[Fecha]],'Plantilla AEG ES'!$E$1:$HX$13,2,FALSE)</f>
        <v>3</v>
      </c>
      <c r="AD43" s="45">
        <f>HLOOKUP(TBL_CalcDarwin[[#This Row],[Fecha]],'Plantilla AEG ES'!$E$1:$HX$13,3,FALSE)</f>
        <v>5</v>
      </c>
      <c r="AE43" s="45">
        <f>HLOOKUP(TBL_CalcDarwin[[#This Row],[Fecha]],'Plantilla AEG ES'!$E$1:$HX$13,4,FALSE)</f>
        <v>9</v>
      </c>
      <c r="AF43" s="45">
        <f>HLOOKUP(TBL_CalcDarwin[[#This Row],[Fecha]],'Plantilla AEG ES'!$E$1:$HX$13,5,FALSE)</f>
        <v>2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0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3</v>
      </c>
      <c r="AK43" s="46">
        <f>HLOOKUP(TBL_CalcDarwin[[#This Row],[Fecha]],'Plantilla AEG ES'!$E$1:$HX$13,10,FALSE)</f>
        <v>10</v>
      </c>
      <c r="AL43" s="46">
        <f>HLOOKUP(TBL_CalcDarwin[[#This Row],[Fecha]],'Plantilla AEG ES'!$E$1:$HX$13,11,FALSE)</f>
        <v>0</v>
      </c>
      <c r="AM43" s="46">
        <f>HLOOKUP(TBL_CalcDarwin[[#This Row],[Fecha]],'Plantilla AEG ES'!$E$1:$HX$13,12,FALSE)</f>
        <v>5</v>
      </c>
      <c r="AN43" s="46">
        <f>HLOOKUP(TBL_CalcDarwin[[#This Row],[Fecha]],'Plantilla AEG ES'!$E$1:$HX$13,13,FALSE)</f>
        <v>3</v>
      </c>
      <c r="AO43" s="37">
        <f>TBL_CalcDarwin[[#This Row],[Lomitas - Barra A - 5.2 - Cerro]]+TBL_CalcDarwin[[#This Row],[Lomitas - Barra A - 5.2 - Medio]]+TBL_CalcDarwin[[#This Row],[Lomitas - Barra A - 5.2 - Mar]]</f>
        <v>17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12.728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16.381</v>
      </c>
      <c r="AS43" s="37">
        <f>TBL_CalcDarwin[[#This Row],[Expansión - Barra A - 5.2 - Cerro]]+TBL_CalcDarwin[[#This Row],[Expansión - Barra A - 5.2 - Medio]]+TBL_CalcDarwin[[#This Row],[Expansión - Barra A - 5.2 - Mar]]</f>
        <v>3</v>
      </c>
      <c r="AT43" s="37">
        <f>TBL_CalcDarwin[[#This Row],[Expansión - Barra B - 5.2 - Cerro]]</f>
        <v>3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43" s="29">
        <f>TBL_CalcDarwin[[#This Row],[Expansión - Barra B - 5.2 - Cerro]]*TBL_CalcDarwin[[#This Row],[AEG 5.2 MW Cerro]]</f>
        <v>1.1459999999999999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45445.749999999905</v>
      </c>
      <c r="C44" s="17">
        <f t="shared" si="3"/>
        <v>1.7500000000000009</v>
      </c>
      <c r="D44" s="34">
        <f>TBL_CalcDarwin[[#This Row],[Darwin PLOM
MW]]+TBL_CalcDarwin[[#This Row],[Darwin PLOME
MW]]</f>
        <v>23.250000000000004</v>
      </c>
      <c r="E44" s="34">
        <f>TBL_CalcDarwin[[#This Row],[PLOM MW TOTAL BARRA A]]+TBL_CalcDarwin[[#This Row],[PLOM MW TOTAL BARRA B]]</f>
        <v>21.648000000000003</v>
      </c>
      <c r="F44" s="34">
        <f>TBL_CalcDarwin[[#This Row],[PLOME MW TOTAL BARRA A]]+TBL_CalcDarwin[[#This Row],[PLOME MW TOTAL BARRA B]]</f>
        <v>1.6019999999999999</v>
      </c>
      <c r="G44" s="48">
        <f>'Plantilla Datos'!D49</f>
        <v>4</v>
      </c>
      <c r="H44" s="48">
        <f>'Plantilla Datos'!E49</f>
        <v>5.2</v>
      </c>
      <c r="I44" s="49">
        <f>'Plantilla Datos'!F49</f>
        <v>17.5</v>
      </c>
      <c r="J44" s="47">
        <f>CEILING('Plantilla Datos'!$L$3*TBL_CalcDarwin[[#This Row],[Darwin Gusts
m/s]],0.5)</f>
        <v>4</v>
      </c>
      <c r="K44" s="47">
        <f>CEILING('Plantilla Datos'!$L$4*TBL_CalcDarwin[[#This Row],[Darwin Gusts
m/s]],0.5)</f>
        <v>4.5</v>
      </c>
      <c r="L44" s="47">
        <f>CEILING(TBL_CalcDarwin[[#This Row],[Darwin Gusts
m/s]],0.5)</f>
        <v>5.5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44" s="41">
        <f>INDEX(Curva_Temp[Temp],MATCH(TBL_CalcDarwin[[#This Row],[Darwin Temp.
°C]],Curva_Temp[Temp]))</f>
        <v>15</v>
      </c>
      <c r="R44" s="41">
        <f>INDEX(Curva_Temp[Warranted Power Curve for 
1.194Kg/m3 air density '[kW']
SG 5.0-145 (AM+1, 5.2MW) AT 
90M],MATCH(TBL_CalcDarwin[[#This Row],[Darwin Temp.
°C]],Curva_Temp[Temp]))</f>
        <v>5200</v>
      </c>
      <c r="S44" s="41" cm="1">
        <f t="array" ref="S44">INDEX(Curva_Temp[Temp],MATCH(TBL_CalcDarwin[[#This Row],[Darwin Temp.
°C]],Curva_Temp[Temp])+1)</f>
        <v>20</v>
      </c>
      <c r="T44" s="41" cm="1">
        <f t="array" ref="T44">INDEX(Curva_Temp[Warranted Power Curve for 
1.194Kg/m3 air density '[kW']
SG 5.0-145 (AM+1, 5.2MW) AT 
90M],MATCH(TBL_CalcDarwin[[#This Row],[Darwin Temp.
°C]],Curva_Temp[Temp])+1)</f>
        <v>5000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44" s="41">
        <f>INDEX(Curva_Temp[Temp],MATCH(TBL_CalcDarwin[[#This Row],[Darwin Temp.
°C]],Curva_Temp[Temp]))</f>
        <v>15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20</v>
      </c>
      <c r="AB44" s="41" cm="1">
        <f t="array" ref="AB44">INDEX(Curva_Temp[Warranted Power Curve for 
1.194Kg/m3 air density '[kW']
SG 5.0-145 (AM 0, 5.0MW) AT 
90M],MATCH(TBL_CalcDarwin[[#This Row],[Darwin Temp.
°C]],Curva_Temp[Temp])+1)</f>
        <v>5000</v>
      </c>
      <c r="AC44" s="45">
        <f>HLOOKUP(TBL_CalcDarwin[[#This Row],[Fecha]],'Plantilla AEG ES'!$E$1:$HX$13,2,FALSE)</f>
        <v>3</v>
      </c>
      <c r="AD44" s="45">
        <f>HLOOKUP(TBL_CalcDarwin[[#This Row],[Fecha]],'Plantilla AEG ES'!$E$1:$HX$13,3,FALSE)</f>
        <v>5</v>
      </c>
      <c r="AE44" s="45">
        <f>HLOOKUP(TBL_CalcDarwin[[#This Row],[Fecha]],'Plantilla AEG ES'!$E$1:$HX$13,4,FALSE)</f>
        <v>9</v>
      </c>
      <c r="AF44" s="45">
        <f>HLOOKUP(TBL_CalcDarwin[[#This Row],[Fecha]],'Plantilla AEG ES'!$E$1:$HX$13,5,FALSE)</f>
        <v>2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0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3</v>
      </c>
      <c r="AK44" s="46">
        <f>HLOOKUP(TBL_CalcDarwin[[#This Row],[Fecha]],'Plantilla AEG ES'!$E$1:$HX$13,10,FALSE)</f>
        <v>10</v>
      </c>
      <c r="AL44" s="46">
        <f>HLOOKUP(TBL_CalcDarwin[[#This Row],[Fecha]],'Plantilla AEG ES'!$E$1:$HX$13,11,FALSE)</f>
        <v>0</v>
      </c>
      <c r="AM44" s="46">
        <f>HLOOKUP(TBL_CalcDarwin[[#This Row],[Fecha]],'Plantilla AEG ES'!$E$1:$HX$13,12,FALSE)</f>
        <v>5</v>
      </c>
      <c r="AN44" s="46">
        <f>HLOOKUP(TBL_CalcDarwin[[#This Row],[Fecha]],'Plantilla AEG ES'!$E$1:$HX$13,13,FALSE)</f>
        <v>3</v>
      </c>
      <c r="AO44" s="37">
        <f>TBL_CalcDarwin[[#This Row],[Lomitas - Barra A - 5.2 - Cerro]]+TBL_CalcDarwin[[#This Row],[Lomitas - Barra A - 5.2 - Medio]]+TBL_CalcDarwin[[#This Row],[Lomitas - Barra A - 5.2 - Mar]]</f>
        <v>17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9.3470000000000013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12.301</v>
      </c>
      <c r="AS44" s="37">
        <f>TBL_CalcDarwin[[#This Row],[Expansión - Barra A - 5.2 - Cerro]]+TBL_CalcDarwin[[#This Row],[Expansión - Barra A - 5.2 - Medio]]+TBL_CalcDarwin[[#This Row],[Expansión - Barra A - 5.2 - Mar]]</f>
        <v>3</v>
      </c>
      <c r="AT44" s="37">
        <f>TBL_CalcDarwin[[#This Row],[Expansión - Barra B - 5.2 - Cerro]]</f>
        <v>3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44" s="29">
        <f>TBL_CalcDarwin[[#This Row],[Expansión - Barra B - 5.2 - Cerro]]*TBL_CalcDarwin[[#This Row],[AEG 5.2 MW Cerro]]</f>
        <v>0.73199999999999998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45445.79166666657</v>
      </c>
      <c r="C45" s="17">
        <f t="shared" si="3"/>
        <v>1.7916666666666676</v>
      </c>
      <c r="D45" s="34">
        <f>TBL_CalcDarwin[[#This Row],[Darwin PLOM
MW]]+TBL_CalcDarwin[[#This Row],[Darwin PLOME
MW]]</f>
        <v>16.324000000000002</v>
      </c>
      <c r="E45" s="34">
        <f>TBL_CalcDarwin[[#This Row],[PLOM MW TOTAL BARRA A]]+TBL_CalcDarwin[[#This Row],[PLOM MW TOTAL BARRA B]]</f>
        <v>15.430000000000001</v>
      </c>
      <c r="F45" s="34">
        <f>TBL_CalcDarwin[[#This Row],[PLOME MW TOTAL BARRA A]]+TBL_CalcDarwin[[#This Row],[PLOME MW TOTAL BARRA B]]</f>
        <v>0.89400000000000002</v>
      </c>
      <c r="G45" s="48">
        <f>'Plantilla Datos'!D50</f>
        <v>3.5</v>
      </c>
      <c r="H45" s="48">
        <f>'Plantilla Datos'!E50</f>
        <v>4.5999999999999996</v>
      </c>
      <c r="I45" s="49">
        <f>'Plantilla Datos'!F50</f>
        <v>17.2</v>
      </c>
      <c r="J45" s="47">
        <f>CEILING('Plantilla Datos'!$L$3*TBL_CalcDarwin[[#This Row],[Darwin Gusts
m/s]],0.5)</f>
        <v>3.5</v>
      </c>
      <c r="K45" s="47">
        <f>CEILING('Plantilla Datos'!$L$4*TBL_CalcDarwin[[#This Row],[Darwin Gusts
m/s]],0.5)</f>
        <v>4</v>
      </c>
      <c r="L45" s="47">
        <f>CEILING(TBL_CalcDarwin[[#This Row],[Darwin Gusts
m/s]],0.5)</f>
        <v>5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45" s="41">
        <f>INDEX(Curva_Temp[Temp],MATCH(TBL_CalcDarwin[[#This Row],[Darwin Temp.
°C]],Curva_Temp[Temp]))</f>
        <v>15</v>
      </c>
      <c r="R45" s="41">
        <f>INDEX(Curva_Temp[Warranted Power Curve for 
1.194Kg/m3 air density '[kW']
SG 5.0-145 (AM+1, 5.2MW) AT 
90M],MATCH(TBL_CalcDarwin[[#This Row],[Darwin Temp.
°C]],Curva_Temp[Temp]))</f>
        <v>5200</v>
      </c>
      <c r="S45" s="41" cm="1">
        <f t="array" ref="S45">INDEX(Curva_Temp[Temp],MATCH(TBL_CalcDarwin[[#This Row],[Darwin Temp.
°C]],Curva_Temp[Temp])+1)</f>
        <v>20</v>
      </c>
      <c r="T45" s="41" cm="1">
        <f t="array" ref="T45">INDEX(Curva_Temp[Warranted Power Curve for 
1.194Kg/m3 air density '[kW']
SG 5.0-145 (AM+1, 5.2MW) AT 
90M],MATCH(TBL_CalcDarwin[[#This Row],[Darwin Temp.
°C]],Curva_Temp[Temp])+1)</f>
        <v>5000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45" s="41">
        <f>INDEX(Curva_Temp[Temp],MATCH(TBL_CalcDarwin[[#This Row],[Darwin Temp.
°C]],Curva_Temp[Temp]))</f>
        <v>15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20</v>
      </c>
      <c r="AB45" s="41" cm="1">
        <f t="array" ref="AB45">INDEX(Curva_Temp[Warranted Power Curve for 
1.194Kg/m3 air density '[kW']
SG 5.0-145 (AM 0, 5.0MW) AT 
90M],MATCH(TBL_CalcDarwin[[#This Row],[Darwin Temp.
°C]],Curva_Temp[Temp])+1)</f>
        <v>5000</v>
      </c>
      <c r="AC45" s="45">
        <f>HLOOKUP(TBL_CalcDarwin[[#This Row],[Fecha]],'Plantilla AEG ES'!$E$1:$HX$13,2,FALSE)</f>
        <v>3</v>
      </c>
      <c r="AD45" s="45">
        <f>HLOOKUP(TBL_CalcDarwin[[#This Row],[Fecha]],'Plantilla AEG ES'!$E$1:$HX$13,3,FALSE)</f>
        <v>5</v>
      </c>
      <c r="AE45" s="45">
        <f>HLOOKUP(TBL_CalcDarwin[[#This Row],[Fecha]],'Plantilla AEG ES'!$E$1:$HX$13,4,FALSE)</f>
        <v>9</v>
      </c>
      <c r="AF45" s="45">
        <f>HLOOKUP(TBL_CalcDarwin[[#This Row],[Fecha]],'Plantilla AEG ES'!$E$1:$HX$13,5,FALSE)</f>
        <v>2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0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3</v>
      </c>
      <c r="AK45" s="46">
        <f>HLOOKUP(TBL_CalcDarwin[[#This Row],[Fecha]],'Plantilla AEG ES'!$E$1:$HX$13,10,FALSE)</f>
        <v>10</v>
      </c>
      <c r="AL45" s="46">
        <f>HLOOKUP(TBL_CalcDarwin[[#This Row],[Fecha]],'Plantilla AEG ES'!$E$1:$HX$13,11,FALSE)</f>
        <v>0</v>
      </c>
      <c r="AM45" s="46">
        <f>HLOOKUP(TBL_CalcDarwin[[#This Row],[Fecha]],'Plantilla AEG ES'!$E$1:$HX$13,12,FALSE)</f>
        <v>5</v>
      </c>
      <c r="AN45" s="46">
        <f>HLOOKUP(TBL_CalcDarwin[[#This Row],[Fecha]],'Plantilla AEG ES'!$E$1:$HX$13,13,FALSE)</f>
        <v>3</v>
      </c>
      <c r="AO45" s="37">
        <f>TBL_CalcDarwin[[#This Row],[Lomitas - Barra A - 5.2 - Cerro]]+TBL_CalcDarwin[[#This Row],[Lomitas - Barra A - 5.2 - Medio]]+TBL_CalcDarwin[[#This Row],[Lomitas - Barra A - 5.2 - Mar]]</f>
        <v>17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6.5329999999999995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8.897000000000002</v>
      </c>
      <c r="AS45" s="37">
        <f>TBL_CalcDarwin[[#This Row],[Expansión - Barra A - 5.2 - Cerro]]+TBL_CalcDarwin[[#This Row],[Expansión - Barra A - 5.2 - Medio]]+TBL_CalcDarwin[[#This Row],[Expansión - Barra A - 5.2 - Mar]]</f>
        <v>3</v>
      </c>
      <c r="AT45" s="37">
        <f>TBL_CalcDarwin[[#This Row],[Expansión - Barra B - 5.2 - Cerro]]</f>
        <v>3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45" s="29">
        <f>TBL_CalcDarwin[[#This Row],[Expansión - Barra B - 5.2 - Cerro]]*TBL_CalcDarwin[[#This Row],[AEG 5.2 MW Cerro]]</f>
        <v>0.39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45445.833333333234</v>
      </c>
      <c r="C46" s="17">
        <f t="shared" si="3"/>
        <v>1.8333333333333344</v>
      </c>
      <c r="D46" s="34">
        <f>TBL_CalcDarwin[[#This Row],[Darwin PLOM
MW]]+TBL_CalcDarwin[[#This Row],[Darwin PLOME
MW]]</f>
        <v>12.349</v>
      </c>
      <c r="E46" s="34">
        <f>TBL_CalcDarwin[[#This Row],[PLOM MW TOTAL BARRA A]]+TBL_CalcDarwin[[#This Row],[PLOM MW TOTAL BARRA B]]</f>
        <v>11.455</v>
      </c>
      <c r="F46" s="34">
        <f>TBL_CalcDarwin[[#This Row],[PLOME MW TOTAL BARRA A]]+TBL_CalcDarwin[[#This Row],[PLOME MW TOTAL BARRA B]]</f>
        <v>0.89400000000000002</v>
      </c>
      <c r="G46" s="48">
        <f>'Plantilla Datos'!D51</f>
        <v>3.3</v>
      </c>
      <c r="H46" s="48">
        <f>'Plantilla Datos'!E51</f>
        <v>4.4000000000000004</v>
      </c>
      <c r="I46" s="49">
        <f>'Plantilla Datos'!F51</f>
        <v>17.2</v>
      </c>
      <c r="J46" s="47">
        <f>CEILING('Plantilla Datos'!$L$3*TBL_CalcDarwin[[#This Row],[Darwin Gusts
m/s]],0.5)</f>
        <v>3.5</v>
      </c>
      <c r="K46" s="47">
        <f>CEILING('Plantilla Datos'!$L$4*TBL_CalcDarwin[[#This Row],[Darwin Gusts
m/s]],0.5)</f>
        <v>4</v>
      </c>
      <c r="L46" s="47">
        <f>CEILING(TBL_CalcDarwin[[#This Row],[Darwin Gusts
m/s]],0.5)</f>
        <v>4.5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46" s="41">
        <f>INDEX(Curva_Temp[Temp],MATCH(TBL_CalcDarwin[[#This Row],[Darwin Temp.
°C]],Curva_Temp[Temp]))</f>
        <v>15</v>
      </c>
      <c r="R46" s="41">
        <f>INDEX(Curva_Temp[Warranted Power Curve for 
1.194Kg/m3 air density '[kW']
SG 5.0-145 (AM+1, 5.2MW) AT 
90M],MATCH(TBL_CalcDarwin[[#This Row],[Darwin Temp.
°C]],Curva_Temp[Temp]))</f>
        <v>5200</v>
      </c>
      <c r="S46" s="41" cm="1">
        <f t="array" ref="S46">INDEX(Curva_Temp[Temp],MATCH(TBL_CalcDarwin[[#This Row],[Darwin Temp.
°C]],Curva_Temp[Temp])+1)</f>
        <v>20</v>
      </c>
      <c r="T46" s="41" cm="1">
        <f t="array" ref="T46">INDEX(Curva_Temp[Warranted Power Curve for 
1.194Kg/m3 air density '[kW']
SG 5.0-145 (AM+1, 5.2MW) AT 
90M],MATCH(TBL_CalcDarwin[[#This Row],[Darwin Temp.
°C]],Curva_Temp[Temp])+1)</f>
        <v>5000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46" s="41">
        <f>INDEX(Curva_Temp[Temp],MATCH(TBL_CalcDarwin[[#This Row],[Darwin Temp.
°C]],Curva_Temp[Temp]))</f>
        <v>15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20</v>
      </c>
      <c r="AB46" s="41" cm="1">
        <f t="array" ref="AB46">INDEX(Curva_Temp[Warranted Power Curve for 
1.194Kg/m3 air density '[kW']
SG 5.0-145 (AM 0, 5.0MW) AT 
90M],MATCH(TBL_CalcDarwin[[#This Row],[Darwin Temp.
°C]],Curva_Temp[Temp])+1)</f>
        <v>5000</v>
      </c>
      <c r="AC46" s="45">
        <f>HLOOKUP(TBL_CalcDarwin[[#This Row],[Fecha]],'Plantilla AEG ES'!$E$1:$HX$13,2,FALSE)</f>
        <v>3</v>
      </c>
      <c r="AD46" s="45">
        <f>HLOOKUP(TBL_CalcDarwin[[#This Row],[Fecha]],'Plantilla AEG ES'!$E$1:$HX$13,3,FALSE)</f>
        <v>5</v>
      </c>
      <c r="AE46" s="45">
        <f>HLOOKUP(TBL_CalcDarwin[[#This Row],[Fecha]],'Plantilla AEG ES'!$E$1:$HX$13,4,FALSE)</f>
        <v>9</v>
      </c>
      <c r="AF46" s="45">
        <f>HLOOKUP(TBL_CalcDarwin[[#This Row],[Fecha]],'Plantilla AEG ES'!$E$1:$HX$13,5,FALSE)</f>
        <v>2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0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3</v>
      </c>
      <c r="AK46" s="46">
        <f>HLOOKUP(TBL_CalcDarwin[[#This Row],[Fecha]],'Plantilla AEG ES'!$E$1:$HX$13,10,FALSE)</f>
        <v>10</v>
      </c>
      <c r="AL46" s="46">
        <f>HLOOKUP(TBL_CalcDarwin[[#This Row],[Fecha]],'Plantilla AEG ES'!$E$1:$HX$13,11,FALSE)</f>
        <v>0</v>
      </c>
      <c r="AM46" s="46">
        <f>HLOOKUP(TBL_CalcDarwin[[#This Row],[Fecha]],'Plantilla AEG ES'!$E$1:$HX$13,12,FALSE)</f>
        <v>5</v>
      </c>
      <c r="AN46" s="46">
        <f>HLOOKUP(TBL_CalcDarwin[[#This Row],[Fecha]],'Plantilla AEG ES'!$E$1:$HX$13,13,FALSE)</f>
        <v>3</v>
      </c>
      <c r="AO46" s="37">
        <f>TBL_CalcDarwin[[#This Row],[Lomitas - Barra A - 5.2 - Cerro]]+TBL_CalcDarwin[[#This Row],[Lomitas - Barra A - 5.2 - Medio]]+TBL_CalcDarwin[[#This Row],[Lomitas - Barra A - 5.2 - Mar]]</f>
        <v>17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5.048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6.407</v>
      </c>
      <c r="AS46" s="37">
        <f>TBL_CalcDarwin[[#This Row],[Expansión - Barra A - 5.2 - Cerro]]+TBL_CalcDarwin[[#This Row],[Expansión - Barra A - 5.2 - Medio]]+TBL_CalcDarwin[[#This Row],[Expansión - Barra A - 5.2 - Mar]]</f>
        <v>3</v>
      </c>
      <c r="AT46" s="37">
        <f>TBL_CalcDarwin[[#This Row],[Expansión - Barra B - 5.2 - Cerro]]</f>
        <v>3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46" s="29">
        <f>TBL_CalcDarwin[[#This Row],[Expansión - Barra B - 5.2 - Cerro]]*TBL_CalcDarwin[[#This Row],[AEG 5.2 MW Cerro]]</f>
        <v>0.39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45445.874999999898</v>
      </c>
      <c r="C47" s="17">
        <f>C46+TIME(1,0,0)</f>
        <v>1.8750000000000011</v>
      </c>
      <c r="D47" s="34">
        <f>TBL_CalcDarwin[[#This Row],[Darwin PLOM
MW]]+TBL_CalcDarwin[[#This Row],[Darwin PLOME
MW]]</f>
        <v>12.349</v>
      </c>
      <c r="E47" s="34">
        <f>TBL_CalcDarwin[[#This Row],[PLOM MW TOTAL BARRA A]]+TBL_CalcDarwin[[#This Row],[PLOM MW TOTAL BARRA B]]</f>
        <v>11.455</v>
      </c>
      <c r="F47" s="34">
        <f>TBL_CalcDarwin[[#This Row],[PLOME MW TOTAL BARRA A]]+TBL_CalcDarwin[[#This Row],[PLOME MW TOTAL BARRA B]]</f>
        <v>0.89400000000000002</v>
      </c>
      <c r="G47" s="48">
        <f>'Plantilla Datos'!D52</f>
        <v>3.2</v>
      </c>
      <c r="H47" s="48">
        <f>'Plantilla Datos'!E52</f>
        <v>4.3</v>
      </c>
      <c r="I47" s="49">
        <f>'Plantilla Datos'!F52</f>
        <v>17.2</v>
      </c>
      <c r="J47" s="47">
        <f>CEILING('Plantilla Datos'!$L$3*TBL_CalcDarwin[[#This Row],[Darwin Gusts
m/s]],0.5)</f>
        <v>3.5</v>
      </c>
      <c r="K47" s="47">
        <f>CEILING('Plantilla Datos'!$L$4*TBL_CalcDarwin[[#This Row],[Darwin Gusts
m/s]],0.5)</f>
        <v>4</v>
      </c>
      <c r="L47" s="47">
        <f>CEILING(TBL_CalcDarwin[[#This Row],[Darwin Gusts
m/s]],0.5)</f>
        <v>4.5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47" s="41">
        <f>INDEX(Curva_Temp[Temp],MATCH(TBL_CalcDarwin[[#This Row],[Darwin Temp.
°C]],Curva_Temp[Temp]))</f>
        <v>15</v>
      </c>
      <c r="R47" s="41">
        <f>INDEX(Curva_Temp[Warranted Power Curve for 
1.194Kg/m3 air density '[kW']
SG 5.0-145 (AM+1, 5.2MW) AT 
90M],MATCH(TBL_CalcDarwin[[#This Row],[Darwin Temp.
°C]],Curva_Temp[Temp]))</f>
        <v>5200</v>
      </c>
      <c r="S47" s="41" cm="1">
        <f t="array" ref="S47">INDEX(Curva_Temp[Temp],MATCH(TBL_CalcDarwin[[#This Row],[Darwin Temp.
°C]],Curva_Temp[Temp])+1)</f>
        <v>20</v>
      </c>
      <c r="T47" s="41" cm="1">
        <f t="array" ref="T47">INDEX(Curva_Temp[Warranted Power Curve for 
1.194Kg/m3 air density '[kW']
SG 5.0-145 (AM+1, 5.2MW) AT 
90M],MATCH(TBL_CalcDarwin[[#This Row],[Darwin Temp.
°C]],Curva_Temp[Temp])+1)</f>
        <v>5000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47" s="41">
        <f>INDEX(Curva_Temp[Temp],MATCH(TBL_CalcDarwin[[#This Row],[Darwin Temp.
°C]],Curva_Temp[Temp]))</f>
        <v>15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20</v>
      </c>
      <c r="AB47" s="41" cm="1">
        <f t="array" ref="AB47">INDEX(Curva_Temp[Warranted Power Curve for 
1.194Kg/m3 air density '[kW']
SG 5.0-145 (AM 0, 5.0MW) AT 
90M],MATCH(TBL_CalcDarwin[[#This Row],[Darwin Temp.
°C]],Curva_Temp[Temp])+1)</f>
        <v>5000</v>
      </c>
      <c r="AC47" s="45">
        <f>HLOOKUP(TBL_CalcDarwin[[#This Row],[Fecha]],'Plantilla AEG ES'!$E$1:$HX$13,2,FALSE)</f>
        <v>3</v>
      </c>
      <c r="AD47" s="45">
        <f>HLOOKUP(TBL_CalcDarwin[[#This Row],[Fecha]],'Plantilla AEG ES'!$E$1:$HX$13,3,FALSE)</f>
        <v>5</v>
      </c>
      <c r="AE47" s="45">
        <f>HLOOKUP(TBL_CalcDarwin[[#This Row],[Fecha]],'Plantilla AEG ES'!$E$1:$HX$13,4,FALSE)</f>
        <v>9</v>
      </c>
      <c r="AF47" s="45">
        <f>HLOOKUP(TBL_CalcDarwin[[#This Row],[Fecha]],'Plantilla AEG ES'!$E$1:$HX$13,5,FALSE)</f>
        <v>2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0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3</v>
      </c>
      <c r="AK47" s="46">
        <f>HLOOKUP(TBL_CalcDarwin[[#This Row],[Fecha]],'Plantilla AEG ES'!$E$1:$HX$13,10,FALSE)</f>
        <v>10</v>
      </c>
      <c r="AL47" s="46">
        <f>HLOOKUP(TBL_CalcDarwin[[#This Row],[Fecha]],'Plantilla AEG ES'!$E$1:$HX$13,11,FALSE)</f>
        <v>0</v>
      </c>
      <c r="AM47" s="46">
        <f>HLOOKUP(TBL_CalcDarwin[[#This Row],[Fecha]],'Plantilla AEG ES'!$E$1:$HX$13,12,FALSE)</f>
        <v>5</v>
      </c>
      <c r="AN47" s="46">
        <f>HLOOKUP(TBL_CalcDarwin[[#This Row],[Fecha]],'Plantilla AEG ES'!$E$1:$HX$13,13,FALSE)</f>
        <v>3</v>
      </c>
      <c r="AO47" s="37">
        <f>TBL_CalcDarwin[[#This Row],[Lomitas - Barra A - 5.2 - Cerro]]+TBL_CalcDarwin[[#This Row],[Lomitas - Barra A - 5.2 - Medio]]+TBL_CalcDarwin[[#This Row],[Lomitas - Barra A - 5.2 - Mar]]</f>
        <v>17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5.048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6.407</v>
      </c>
      <c r="AS47" s="37">
        <f>TBL_CalcDarwin[[#This Row],[Expansión - Barra A - 5.2 - Cerro]]+TBL_CalcDarwin[[#This Row],[Expansión - Barra A - 5.2 - Medio]]+TBL_CalcDarwin[[#This Row],[Expansión - Barra A - 5.2 - Mar]]</f>
        <v>3</v>
      </c>
      <c r="AT47" s="37">
        <f>TBL_CalcDarwin[[#This Row],[Expansión - Barra B - 5.2 - Cerro]]</f>
        <v>3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47" s="29">
        <f>TBL_CalcDarwin[[#This Row],[Expansión - Barra B - 5.2 - Cerro]]*TBL_CalcDarwin[[#This Row],[AEG 5.2 MW Cerro]]</f>
        <v>0.39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45445.916666666562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12.349</v>
      </c>
      <c r="E48" s="34">
        <f>TBL_CalcDarwin[[#This Row],[PLOM MW TOTAL BARRA A]]+TBL_CalcDarwin[[#This Row],[PLOM MW TOTAL BARRA B]]</f>
        <v>11.455</v>
      </c>
      <c r="F48" s="34">
        <f>TBL_CalcDarwin[[#This Row],[PLOME MW TOTAL BARRA A]]+TBL_CalcDarwin[[#This Row],[PLOME MW TOTAL BARRA B]]</f>
        <v>0.89400000000000002</v>
      </c>
      <c r="G48" s="48">
        <f>'Plantilla Datos'!D53</f>
        <v>3.1</v>
      </c>
      <c r="H48" s="48">
        <f>'Plantilla Datos'!E53</f>
        <v>4.2</v>
      </c>
      <c r="I48" s="49">
        <f>'Plantilla Datos'!F53</f>
        <v>17.3</v>
      </c>
      <c r="J48" s="47">
        <f>CEILING('Plantilla Datos'!$L$3*TBL_CalcDarwin[[#This Row],[Darwin Gusts
m/s]],0.5)</f>
        <v>3.5</v>
      </c>
      <c r="K48" s="47">
        <f>CEILING('Plantilla Datos'!$L$4*TBL_CalcDarwin[[#This Row],[Darwin Gusts
m/s]],0.5)</f>
        <v>4</v>
      </c>
      <c r="L48" s="47">
        <f>CEILING(TBL_CalcDarwin[[#This Row],[Darwin Gusts
m/s]],0.5)</f>
        <v>4.5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48" s="41">
        <f>INDEX(Curva_Temp[Temp],MATCH(TBL_CalcDarwin[[#This Row],[Darwin Temp.
°C]],Curva_Temp[Temp]))</f>
        <v>15</v>
      </c>
      <c r="R48" s="41">
        <f>INDEX(Curva_Temp[Warranted Power Curve for 
1.194Kg/m3 air density '[kW']
SG 5.0-145 (AM+1, 5.2MW) AT 
90M],MATCH(TBL_CalcDarwin[[#This Row],[Darwin Temp.
°C]],Curva_Temp[Temp]))</f>
        <v>5200</v>
      </c>
      <c r="S48" s="41" cm="1">
        <f t="array" ref="S48">INDEX(Curva_Temp[Temp],MATCH(TBL_CalcDarwin[[#This Row],[Darwin Temp.
°C]],Curva_Temp[Temp])+1)</f>
        <v>20</v>
      </c>
      <c r="T48" s="41" cm="1">
        <f t="array" ref="T48">INDEX(Curva_Temp[Warranted Power Curve for 
1.194Kg/m3 air density '[kW']
SG 5.0-145 (AM+1, 5.2MW) AT 
90M],MATCH(TBL_CalcDarwin[[#This Row],[Darwin Temp.
°C]],Curva_Temp[Temp])+1)</f>
        <v>5000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48" s="41">
        <f>INDEX(Curva_Temp[Temp],MATCH(TBL_CalcDarwin[[#This Row],[Darwin Temp.
°C]],Curva_Temp[Temp]))</f>
        <v>15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20</v>
      </c>
      <c r="AB48" s="41" cm="1">
        <f t="array" ref="AB48">INDEX(Curva_Temp[Warranted Power Curve for 
1.194Kg/m3 air density '[kW']
SG 5.0-145 (AM 0, 5.0MW) AT 
90M],MATCH(TBL_CalcDarwin[[#This Row],[Darwin Temp.
°C]],Curva_Temp[Temp])+1)</f>
        <v>5000</v>
      </c>
      <c r="AC48" s="45">
        <f>HLOOKUP(TBL_CalcDarwin[[#This Row],[Fecha]],'Plantilla AEG ES'!$E$1:$HX$13,2,FALSE)</f>
        <v>3</v>
      </c>
      <c r="AD48" s="45">
        <f>HLOOKUP(TBL_CalcDarwin[[#This Row],[Fecha]],'Plantilla AEG ES'!$E$1:$HX$13,3,FALSE)</f>
        <v>5</v>
      </c>
      <c r="AE48" s="45">
        <f>HLOOKUP(TBL_CalcDarwin[[#This Row],[Fecha]],'Plantilla AEG ES'!$E$1:$HX$13,4,FALSE)</f>
        <v>9</v>
      </c>
      <c r="AF48" s="45">
        <f>HLOOKUP(TBL_CalcDarwin[[#This Row],[Fecha]],'Plantilla AEG ES'!$E$1:$HX$13,5,FALSE)</f>
        <v>2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0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3</v>
      </c>
      <c r="AK48" s="46">
        <f>HLOOKUP(TBL_CalcDarwin[[#This Row],[Fecha]],'Plantilla AEG ES'!$E$1:$HX$13,10,FALSE)</f>
        <v>10</v>
      </c>
      <c r="AL48" s="46">
        <f>HLOOKUP(TBL_CalcDarwin[[#This Row],[Fecha]],'Plantilla AEG ES'!$E$1:$HX$13,11,FALSE)</f>
        <v>0</v>
      </c>
      <c r="AM48" s="46">
        <f>HLOOKUP(TBL_CalcDarwin[[#This Row],[Fecha]],'Plantilla AEG ES'!$E$1:$HX$13,12,FALSE)</f>
        <v>5</v>
      </c>
      <c r="AN48" s="46">
        <f>HLOOKUP(TBL_CalcDarwin[[#This Row],[Fecha]],'Plantilla AEG ES'!$E$1:$HX$13,13,FALSE)</f>
        <v>3</v>
      </c>
      <c r="AO48" s="37">
        <f>TBL_CalcDarwin[[#This Row],[Lomitas - Barra A - 5.2 - Cerro]]+TBL_CalcDarwin[[#This Row],[Lomitas - Barra A - 5.2 - Medio]]+TBL_CalcDarwin[[#This Row],[Lomitas - Barra A - 5.2 - Mar]]</f>
        <v>17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5.048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6.407</v>
      </c>
      <c r="AS48" s="37">
        <f>TBL_CalcDarwin[[#This Row],[Expansión - Barra A - 5.2 - Cerro]]+TBL_CalcDarwin[[#This Row],[Expansión - Barra A - 5.2 - Medio]]+TBL_CalcDarwin[[#This Row],[Expansión - Barra A - 5.2 - Mar]]</f>
        <v>3</v>
      </c>
      <c r="AT48" s="37">
        <f>TBL_CalcDarwin[[#This Row],[Expansión - Barra B - 5.2 - Cerro]]</f>
        <v>3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48" s="29">
        <f>TBL_CalcDarwin[[#This Row],[Expansión - Barra B - 5.2 - Cerro]]*TBL_CalcDarwin[[#This Row],[AEG 5.2 MW Cerro]]</f>
        <v>0.39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45445.958333333227</v>
      </c>
      <c r="C49" s="17">
        <f t="shared" si="4"/>
        <v>1.9583333333333346</v>
      </c>
      <c r="D49" s="34">
        <f>TBL_CalcDarwin[[#This Row],[Darwin PLOM
MW]]+TBL_CalcDarwin[[#This Row],[Darwin PLOME
MW]]</f>
        <v>17.565999999999999</v>
      </c>
      <c r="E49" s="34">
        <f>TBL_CalcDarwin[[#This Row],[PLOM MW TOTAL BARRA A]]+TBL_CalcDarwin[[#This Row],[PLOM MW TOTAL BARRA B]]</f>
        <v>16.533999999999999</v>
      </c>
      <c r="F49" s="34">
        <f>TBL_CalcDarwin[[#This Row],[PLOME MW TOTAL BARRA A]]+TBL_CalcDarwin[[#This Row],[PLOME MW TOTAL BARRA B]]</f>
        <v>1.032</v>
      </c>
      <c r="G49" s="48">
        <f>'Plantilla Datos'!D54</f>
        <v>3.6</v>
      </c>
      <c r="H49" s="48">
        <f>'Plantilla Datos'!E54</f>
        <v>4.7</v>
      </c>
      <c r="I49" s="49">
        <f>'Plantilla Datos'!F54</f>
        <v>16.899999999999999</v>
      </c>
      <c r="J49" s="47">
        <f>CEILING('Plantilla Datos'!$L$3*TBL_CalcDarwin[[#This Row],[Darwin Gusts
m/s]],0.5)</f>
        <v>3.5</v>
      </c>
      <c r="K49" s="47">
        <f>CEILING('Plantilla Datos'!$L$4*TBL_CalcDarwin[[#This Row],[Darwin Gusts
m/s]],0.5)</f>
        <v>4.5</v>
      </c>
      <c r="L49" s="47">
        <f>CEILING(TBL_CalcDarwin[[#This Row],[Darwin Gusts
m/s]],0.5)</f>
        <v>5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49" s="41">
        <f>INDEX(Curva_Temp[Temp],MATCH(TBL_CalcDarwin[[#This Row],[Darwin Temp.
°C]],Curva_Temp[Temp]))</f>
        <v>15</v>
      </c>
      <c r="R49" s="41">
        <f>INDEX(Curva_Temp[Warranted Power Curve for 
1.194Kg/m3 air density '[kW']
SG 5.0-145 (AM+1, 5.2MW) AT 
90M],MATCH(TBL_CalcDarwin[[#This Row],[Darwin Temp.
°C]],Curva_Temp[Temp]))</f>
        <v>5200</v>
      </c>
      <c r="S49" s="41" cm="1">
        <f t="array" ref="S49">INDEX(Curva_Temp[Temp],MATCH(TBL_CalcDarwin[[#This Row],[Darwin Temp.
°C]],Curva_Temp[Temp])+1)</f>
        <v>20</v>
      </c>
      <c r="T49" s="41" cm="1">
        <f t="array" ref="T49">INDEX(Curva_Temp[Warranted Power Curve for 
1.194Kg/m3 air density '[kW']
SG 5.0-145 (AM+1, 5.2MW) AT 
90M],MATCH(TBL_CalcDarwin[[#This Row],[Darwin Temp.
°C]],Curva_Temp[Temp])+1)</f>
        <v>5000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49" s="41">
        <f>INDEX(Curva_Temp[Temp],MATCH(TBL_CalcDarwin[[#This Row],[Darwin Temp.
°C]],Curva_Temp[Temp]))</f>
        <v>15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20</v>
      </c>
      <c r="AB49" s="41" cm="1">
        <f t="array" ref="AB49">INDEX(Curva_Temp[Warranted Power Curve for 
1.194Kg/m3 air density '[kW']
SG 5.0-145 (AM 0, 5.0MW) AT 
90M],MATCH(TBL_CalcDarwin[[#This Row],[Darwin Temp.
°C]],Curva_Temp[Temp])+1)</f>
        <v>5000</v>
      </c>
      <c r="AC49" s="45">
        <f>HLOOKUP(TBL_CalcDarwin[[#This Row],[Fecha]],'Plantilla AEG ES'!$E$1:$HX$13,2,FALSE)</f>
        <v>3</v>
      </c>
      <c r="AD49" s="45">
        <f>HLOOKUP(TBL_CalcDarwin[[#This Row],[Fecha]],'Plantilla AEG ES'!$E$1:$HX$13,3,FALSE)</f>
        <v>5</v>
      </c>
      <c r="AE49" s="45">
        <f>HLOOKUP(TBL_CalcDarwin[[#This Row],[Fecha]],'Plantilla AEG ES'!$E$1:$HX$13,4,FALSE)</f>
        <v>9</v>
      </c>
      <c r="AF49" s="45">
        <f>HLOOKUP(TBL_CalcDarwin[[#This Row],[Fecha]],'Plantilla AEG ES'!$E$1:$HX$13,5,FALSE)</f>
        <v>2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0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3</v>
      </c>
      <c r="AK49" s="46">
        <f>HLOOKUP(TBL_CalcDarwin[[#This Row],[Fecha]],'Plantilla AEG ES'!$E$1:$HX$13,10,FALSE)</f>
        <v>10</v>
      </c>
      <c r="AL49" s="46">
        <f>HLOOKUP(TBL_CalcDarwin[[#This Row],[Fecha]],'Plantilla AEG ES'!$E$1:$HX$13,11,FALSE)</f>
        <v>0</v>
      </c>
      <c r="AM49" s="46">
        <f>HLOOKUP(TBL_CalcDarwin[[#This Row],[Fecha]],'Plantilla AEG ES'!$E$1:$HX$13,12,FALSE)</f>
        <v>5</v>
      </c>
      <c r="AN49" s="46">
        <f>HLOOKUP(TBL_CalcDarwin[[#This Row],[Fecha]],'Plantilla AEG ES'!$E$1:$HX$13,13,FALSE)</f>
        <v>3</v>
      </c>
      <c r="AO49" s="37">
        <f>TBL_CalcDarwin[[#This Row],[Lomitas - Barra A - 5.2 - Cerro]]+TBL_CalcDarwin[[#This Row],[Lomitas - Barra A - 5.2 - Medio]]+TBL_CalcDarwin[[#This Row],[Lomitas - Barra A - 5.2 - Mar]]</f>
        <v>17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7.2230000000000008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9.3109999999999999</v>
      </c>
      <c r="AS49" s="37">
        <f>TBL_CalcDarwin[[#This Row],[Expansión - Barra A - 5.2 - Cerro]]+TBL_CalcDarwin[[#This Row],[Expansión - Barra A - 5.2 - Medio]]+TBL_CalcDarwin[[#This Row],[Expansión - Barra A - 5.2 - Mar]]</f>
        <v>3</v>
      </c>
      <c r="AT49" s="37">
        <f>TBL_CalcDarwin[[#This Row],[Expansión - Barra B - 5.2 - Cerro]]</f>
        <v>3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0.64200000000000002</v>
      </c>
      <c r="AV49" s="29">
        <f>TBL_CalcDarwin[[#This Row],[Expansión - Barra B - 5.2 - Cerro]]*TBL_CalcDarwin[[#This Row],[AEG 5.2 MW Cerro]]</f>
        <v>0.39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45445.999999999891</v>
      </c>
      <c r="C50" s="17">
        <f t="shared" si="4"/>
        <v>2.0000000000000013</v>
      </c>
      <c r="D50" s="34">
        <f>TBL_CalcDarwin[[#This Row],[Darwin PLOM
MW]]+TBL_CalcDarwin[[#This Row],[Darwin PLOME
MW]]</f>
        <v>28.465</v>
      </c>
      <c r="E50" s="34">
        <f>TBL_CalcDarwin[[#This Row],[PLOM MW TOTAL BARRA A]]+TBL_CalcDarwin[[#This Row],[PLOM MW TOTAL BARRA B]]</f>
        <v>27.594999999999999</v>
      </c>
      <c r="F50" s="34">
        <f>TBL_CalcDarwin[[#This Row],[PLOME MW TOTAL BARRA A]]+TBL_CalcDarwin[[#This Row],[PLOME MW TOTAL BARRA B]]</f>
        <v>0.87</v>
      </c>
      <c r="G50" s="48">
        <f>'Plantilla Datos'!D55</f>
        <v>4</v>
      </c>
      <c r="H50" s="48">
        <f>'Plantilla Datos'!E55</f>
        <v>5.2</v>
      </c>
      <c r="I50" s="49">
        <f>'Plantilla Datos'!F55</f>
        <v>16.5</v>
      </c>
      <c r="J50" s="47">
        <f>CEILING('Plantilla Datos'!$L$3*TBL_CalcDarwin[[#This Row],[Darwin Gusts
m/s]],0.5)</f>
        <v>4</v>
      </c>
      <c r="K50" s="47">
        <f>CEILING('Plantilla Datos'!$L$4*TBL_CalcDarwin[[#This Row],[Darwin Gusts
m/s]],0.5)</f>
        <v>4.5</v>
      </c>
      <c r="L50" s="47">
        <f>CEILING(TBL_CalcDarwin[[#This Row],[Darwin Gusts
m/s]],0.5)</f>
        <v>5.5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50" s="41">
        <f>INDEX(Curva_Temp[Temp],MATCH(TBL_CalcDarwin[[#This Row],[Darwin Temp.
°C]],Curva_Temp[Temp]))</f>
        <v>15</v>
      </c>
      <c r="R50" s="41">
        <f>INDEX(Curva_Temp[Warranted Power Curve for 
1.194Kg/m3 air density '[kW']
SG 5.0-145 (AM+1, 5.2MW) AT 
90M],MATCH(TBL_CalcDarwin[[#This Row],[Darwin Temp.
°C]],Curva_Temp[Temp]))</f>
        <v>5200</v>
      </c>
      <c r="S50" s="41" cm="1">
        <f t="array" ref="S50">INDEX(Curva_Temp[Temp],MATCH(TBL_CalcDarwin[[#This Row],[Darwin Temp.
°C]],Curva_Temp[Temp])+1)</f>
        <v>20</v>
      </c>
      <c r="T50" s="41" cm="1">
        <f t="array" ref="T50">INDEX(Curva_Temp[Warranted Power Curve for 
1.194Kg/m3 air density '[kW']
SG 5.0-145 (AM+1, 5.2MW) AT 
90M],MATCH(TBL_CalcDarwin[[#This Row],[Darwin Temp.
°C]],Curva_Temp[Temp])+1)</f>
        <v>5000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50" s="41">
        <f>INDEX(Curva_Temp[Temp],MATCH(TBL_CalcDarwin[[#This Row],[Darwin Temp.
°C]],Curva_Temp[Temp]))</f>
        <v>15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20</v>
      </c>
      <c r="AB50" s="41" cm="1">
        <f t="array" ref="AB50">INDEX(Curva_Temp[Warranted Power Curve for 
1.194Kg/m3 air density '[kW']
SG 5.0-145 (AM 0, 5.0MW) AT 
90M],MATCH(TBL_CalcDarwin[[#This Row],[Darwin Temp.
°C]],Curva_Temp[Temp])+1)</f>
        <v>5000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50" s="29">
        <f>TBL_CalcDarwin[[#This Row],[Expansión - Barra B - 5.2 - Cerro]]*TBL_CalcDarwin[[#This Row],[AEG 5.2 MW Cerro]]</f>
        <v>0.24399999999999999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45446.041666666555</v>
      </c>
      <c r="C51" s="17">
        <f t="shared" si="4"/>
        <v>2.0416666666666679</v>
      </c>
      <c r="D51" s="34">
        <f>TBL_CalcDarwin[[#This Row],[Darwin PLOM
MW]]+TBL_CalcDarwin[[#This Row],[Darwin PLOME
MW]]</f>
        <v>38.544999999999995</v>
      </c>
      <c r="E51" s="34">
        <f>TBL_CalcDarwin[[#This Row],[PLOM MW TOTAL BARRA A]]+TBL_CalcDarwin[[#This Row],[PLOM MW TOTAL BARRA B]]</f>
        <v>37.233999999999995</v>
      </c>
      <c r="F51" s="34">
        <f>TBL_CalcDarwin[[#This Row],[PLOME MW TOTAL BARRA A]]+TBL_CalcDarwin[[#This Row],[PLOME MW TOTAL BARRA B]]</f>
        <v>1.3109999999999999</v>
      </c>
      <c r="G51" s="48">
        <f>'Plantilla Datos'!D56</f>
        <v>4.4000000000000004</v>
      </c>
      <c r="H51" s="48">
        <f>'Plantilla Datos'!E56</f>
        <v>5.7</v>
      </c>
      <c r="I51" s="49">
        <f>'Plantilla Datos'!F56</f>
        <v>16.100000000000001</v>
      </c>
      <c r="J51" s="47">
        <f>CEILING('Plantilla Datos'!$L$3*TBL_CalcDarwin[[#This Row],[Darwin Gusts
m/s]],0.5)</f>
        <v>4.5</v>
      </c>
      <c r="K51" s="47">
        <f>CEILING('Plantilla Datos'!$L$4*TBL_CalcDarwin[[#This Row],[Darwin Gusts
m/s]],0.5)</f>
        <v>5</v>
      </c>
      <c r="L51" s="47">
        <f>CEILING(TBL_CalcDarwin[[#This Row],[Darwin Gusts
m/s]],0.5)</f>
        <v>6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51" s="41">
        <f>INDEX(Curva_Temp[Temp],MATCH(TBL_CalcDarwin[[#This Row],[Darwin Temp.
°C]],Curva_Temp[Temp]))</f>
        <v>15</v>
      </c>
      <c r="R51" s="41">
        <f>INDEX(Curva_Temp[Warranted Power Curve for 
1.194Kg/m3 air density '[kW']
SG 5.0-145 (AM+1, 5.2MW) AT 
90M],MATCH(TBL_CalcDarwin[[#This Row],[Darwin Temp.
°C]],Curva_Temp[Temp]))</f>
        <v>5200</v>
      </c>
      <c r="S51" s="41" cm="1">
        <f t="array" ref="S51">INDEX(Curva_Temp[Temp],MATCH(TBL_CalcDarwin[[#This Row],[Darwin Temp.
°C]],Curva_Temp[Temp])+1)</f>
        <v>20</v>
      </c>
      <c r="T51" s="41" cm="1">
        <f t="array" ref="T51">INDEX(Curva_Temp[Warranted Power Curve for 
1.194Kg/m3 air density '[kW']
SG 5.0-145 (AM+1, 5.2MW) AT 
90M],MATCH(TBL_CalcDarwin[[#This Row],[Darwin Temp.
°C]],Curva_Temp[Temp])+1)</f>
        <v>5000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51" s="41">
        <f>INDEX(Curva_Temp[Temp],MATCH(TBL_CalcDarwin[[#This Row],[Darwin Temp.
°C]],Curva_Temp[Temp]))</f>
        <v>15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20</v>
      </c>
      <c r="AB51" s="41" cm="1">
        <f t="array" ref="AB51">INDEX(Curva_Temp[Warranted Power Curve for 
1.194Kg/m3 air density '[kW']
SG 5.0-145 (AM 0, 5.0MW) AT 
90M],MATCH(TBL_CalcDarwin[[#This Row],[Darwin Temp.
°C]],Curva_Temp[Temp])+1)</f>
        <v>5000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51" s="29">
        <f>TBL_CalcDarwin[[#This Row],[Expansión - Barra B - 5.2 - Cerro]]*TBL_CalcDarwin[[#This Row],[AEG 5.2 MW Cerro]]</f>
        <v>0.38200000000000001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45446.083333333219</v>
      </c>
      <c r="C52" s="17">
        <f t="shared" si="4"/>
        <v>2.0833333333333344</v>
      </c>
      <c r="D52" s="34">
        <f>TBL_CalcDarwin[[#This Row],[Darwin PLOM
MW]]+TBL_CalcDarwin[[#This Row],[Darwin PLOME
MW]]</f>
        <v>38.544999999999995</v>
      </c>
      <c r="E52" s="34">
        <f>TBL_CalcDarwin[[#This Row],[PLOM MW TOTAL BARRA A]]+TBL_CalcDarwin[[#This Row],[PLOM MW TOTAL BARRA B]]</f>
        <v>37.233999999999995</v>
      </c>
      <c r="F52" s="34">
        <f>TBL_CalcDarwin[[#This Row],[PLOME MW TOTAL BARRA A]]+TBL_CalcDarwin[[#This Row],[PLOME MW TOTAL BARRA B]]</f>
        <v>1.3109999999999999</v>
      </c>
      <c r="G52" s="48">
        <f>'Plantilla Datos'!D57</f>
        <v>4.4000000000000004</v>
      </c>
      <c r="H52" s="48">
        <f>'Plantilla Datos'!E57</f>
        <v>5.7</v>
      </c>
      <c r="I52" s="49">
        <f>'Plantilla Datos'!F57</f>
        <v>16.100000000000001</v>
      </c>
      <c r="J52" s="47">
        <f>CEILING('Plantilla Datos'!$L$3*TBL_CalcDarwin[[#This Row],[Darwin Gusts
m/s]],0.5)</f>
        <v>4.5</v>
      </c>
      <c r="K52" s="47">
        <f>CEILING('Plantilla Datos'!$L$4*TBL_CalcDarwin[[#This Row],[Darwin Gusts
m/s]],0.5)</f>
        <v>5</v>
      </c>
      <c r="L52" s="47">
        <f>CEILING(TBL_CalcDarwin[[#This Row],[Darwin Gusts
m/s]],0.5)</f>
        <v>6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52" s="41">
        <f>INDEX(Curva_Temp[Temp],MATCH(TBL_CalcDarwin[[#This Row],[Darwin Temp.
°C]],Curva_Temp[Temp]))</f>
        <v>15</v>
      </c>
      <c r="R52" s="41">
        <f>INDEX(Curva_Temp[Warranted Power Curve for 
1.194Kg/m3 air density '[kW']
SG 5.0-145 (AM+1, 5.2MW) AT 
90M],MATCH(TBL_CalcDarwin[[#This Row],[Darwin Temp.
°C]],Curva_Temp[Temp]))</f>
        <v>5200</v>
      </c>
      <c r="S52" s="41" cm="1">
        <f t="array" ref="S52">INDEX(Curva_Temp[Temp],MATCH(TBL_CalcDarwin[[#This Row],[Darwin Temp.
°C]],Curva_Temp[Temp])+1)</f>
        <v>20</v>
      </c>
      <c r="T52" s="41" cm="1">
        <f t="array" ref="T52">INDEX(Curva_Temp[Warranted Power Curve for 
1.194Kg/m3 air density '[kW']
SG 5.0-145 (AM+1, 5.2MW) AT 
90M],MATCH(TBL_CalcDarwin[[#This Row],[Darwin Temp.
°C]],Curva_Temp[Temp])+1)</f>
        <v>5000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52" s="41">
        <f>INDEX(Curva_Temp[Temp],MATCH(TBL_CalcDarwin[[#This Row],[Darwin Temp.
°C]],Curva_Temp[Temp]))</f>
        <v>15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20</v>
      </c>
      <c r="AB52" s="41" cm="1">
        <f t="array" ref="AB52">INDEX(Curva_Temp[Warranted Power Curve for 
1.194Kg/m3 air density '[kW']
SG 5.0-145 (AM 0, 5.0MW) AT 
90M],MATCH(TBL_CalcDarwin[[#This Row],[Darwin Temp.
°C]],Curva_Temp[Temp])+1)</f>
        <v>5000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52" s="29">
        <f>TBL_CalcDarwin[[#This Row],[Expansión - Barra B - 5.2 - Cerro]]*TBL_CalcDarwin[[#This Row],[AEG 5.2 MW Cerro]]</f>
        <v>0.38200000000000001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45446.124999999884</v>
      </c>
      <c r="C53" s="17">
        <f>C52+TIME(1,0,0)</f>
        <v>2.1250000000000009</v>
      </c>
      <c r="D53" s="34">
        <f>TBL_CalcDarwin[[#This Row],[Darwin PLOM
MW]]+TBL_CalcDarwin[[#This Row],[Darwin PLOME
MW]]</f>
        <v>38.544999999999995</v>
      </c>
      <c r="E53" s="34">
        <f>TBL_CalcDarwin[[#This Row],[PLOM MW TOTAL BARRA A]]+TBL_CalcDarwin[[#This Row],[PLOM MW TOTAL BARRA B]]</f>
        <v>37.233999999999995</v>
      </c>
      <c r="F53" s="34">
        <f>TBL_CalcDarwin[[#This Row],[PLOME MW TOTAL BARRA A]]+TBL_CalcDarwin[[#This Row],[PLOME MW TOTAL BARRA B]]</f>
        <v>1.3109999999999999</v>
      </c>
      <c r="G53" s="48">
        <f>'Plantilla Datos'!D58</f>
        <v>4.4000000000000004</v>
      </c>
      <c r="H53" s="48">
        <f>'Plantilla Datos'!E58</f>
        <v>5.7</v>
      </c>
      <c r="I53" s="49">
        <f>'Plantilla Datos'!F58</f>
        <v>16.2</v>
      </c>
      <c r="J53" s="47">
        <f>CEILING('Plantilla Datos'!$L$3*TBL_CalcDarwin[[#This Row],[Darwin Gusts
m/s]],0.5)</f>
        <v>4.5</v>
      </c>
      <c r="K53" s="47">
        <f>CEILING('Plantilla Datos'!$L$4*TBL_CalcDarwin[[#This Row],[Darwin Gusts
m/s]],0.5)</f>
        <v>5</v>
      </c>
      <c r="L53" s="47">
        <f>CEILING(TBL_CalcDarwin[[#This Row],[Darwin Gusts
m/s]],0.5)</f>
        <v>6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53" s="41">
        <f>INDEX(Curva_Temp[Temp],MATCH(TBL_CalcDarwin[[#This Row],[Darwin Temp.
°C]],Curva_Temp[Temp]))</f>
        <v>15</v>
      </c>
      <c r="R53" s="41">
        <f>INDEX(Curva_Temp[Warranted Power Curve for 
1.194Kg/m3 air density '[kW']
SG 5.0-145 (AM+1, 5.2MW) AT 
90M],MATCH(TBL_CalcDarwin[[#This Row],[Darwin Temp.
°C]],Curva_Temp[Temp]))</f>
        <v>5200</v>
      </c>
      <c r="S53" s="41" cm="1">
        <f t="array" ref="S53">INDEX(Curva_Temp[Temp],MATCH(TBL_CalcDarwin[[#This Row],[Darwin Temp.
°C]],Curva_Temp[Temp])+1)</f>
        <v>20</v>
      </c>
      <c r="T53" s="41" cm="1">
        <f t="array" ref="T53">INDEX(Curva_Temp[Warranted Power Curve for 
1.194Kg/m3 air density '[kW']
SG 5.0-145 (AM+1, 5.2MW) AT 
90M],MATCH(TBL_CalcDarwin[[#This Row],[Darwin Temp.
°C]],Curva_Temp[Temp])+1)</f>
        <v>5000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53" s="41">
        <f>INDEX(Curva_Temp[Temp],MATCH(TBL_CalcDarwin[[#This Row],[Darwin Temp.
°C]],Curva_Temp[Temp]))</f>
        <v>15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20</v>
      </c>
      <c r="AB53" s="41" cm="1">
        <f t="array" ref="AB53">INDEX(Curva_Temp[Warranted Power Curve for 
1.194Kg/m3 air density '[kW']
SG 5.0-145 (AM 0, 5.0MW) AT 
90M],MATCH(TBL_CalcDarwin[[#This Row],[Darwin Temp.
°C]],Curva_Temp[Temp])+1)</f>
        <v>5000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53" s="29">
        <f>TBL_CalcDarwin[[#This Row],[Expansión - Barra B - 5.2 - Cerro]]*TBL_CalcDarwin[[#This Row],[AEG 5.2 MW Cerro]]</f>
        <v>0.38200000000000001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45446.166666666548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38.544999999999995</v>
      </c>
      <c r="E54" s="34">
        <f>TBL_CalcDarwin[[#This Row],[PLOM MW TOTAL BARRA A]]+TBL_CalcDarwin[[#This Row],[PLOM MW TOTAL BARRA B]]</f>
        <v>37.233999999999995</v>
      </c>
      <c r="F54" s="34">
        <f>TBL_CalcDarwin[[#This Row],[PLOME MW TOTAL BARRA A]]+TBL_CalcDarwin[[#This Row],[PLOME MW TOTAL BARRA B]]</f>
        <v>1.3109999999999999</v>
      </c>
      <c r="G54" s="48">
        <f>'Plantilla Datos'!D59</f>
        <v>4.5</v>
      </c>
      <c r="H54" s="48">
        <f>'Plantilla Datos'!E59</f>
        <v>5.8</v>
      </c>
      <c r="I54" s="49">
        <f>'Plantilla Datos'!F59</f>
        <v>16.3</v>
      </c>
      <c r="J54" s="47">
        <f>CEILING('Plantilla Datos'!$L$3*TBL_CalcDarwin[[#This Row],[Darwin Gusts
m/s]],0.5)</f>
        <v>4.5</v>
      </c>
      <c r="K54" s="47">
        <f>CEILING('Plantilla Datos'!$L$4*TBL_CalcDarwin[[#This Row],[Darwin Gusts
m/s]],0.5)</f>
        <v>5</v>
      </c>
      <c r="L54" s="47">
        <f>CEILING(TBL_CalcDarwin[[#This Row],[Darwin Gusts
m/s]],0.5)</f>
        <v>6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54" s="41">
        <f>INDEX(Curva_Temp[Temp],MATCH(TBL_CalcDarwin[[#This Row],[Darwin Temp.
°C]],Curva_Temp[Temp]))</f>
        <v>15</v>
      </c>
      <c r="R54" s="41">
        <f>INDEX(Curva_Temp[Warranted Power Curve for 
1.194Kg/m3 air density '[kW']
SG 5.0-145 (AM+1, 5.2MW) AT 
90M],MATCH(TBL_CalcDarwin[[#This Row],[Darwin Temp.
°C]],Curva_Temp[Temp]))</f>
        <v>5200</v>
      </c>
      <c r="S54" s="41" cm="1">
        <f t="array" ref="S54">INDEX(Curva_Temp[Temp],MATCH(TBL_CalcDarwin[[#This Row],[Darwin Temp.
°C]],Curva_Temp[Temp])+1)</f>
        <v>20</v>
      </c>
      <c r="T54" s="41" cm="1">
        <f t="array" ref="T54">INDEX(Curva_Temp[Warranted Power Curve for 
1.194Kg/m3 air density '[kW']
SG 5.0-145 (AM+1, 5.2MW) AT 
90M],MATCH(TBL_CalcDarwin[[#This Row],[Darwin Temp.
°C]],Curva_Temp[Temp])+1)</f>
        <v>5000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54" s="41">
        <f>INDEX(Curva_Temp[Temp],MATCH(TBL_CalcDarwin[[#This Row],[Darwin Temp.
°C]],Curva_Temp[Temp]))</f>
        <v>15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20</v>
      </c>
      <c r="AB54" s="41" cm="1">
        <f t="array" ref="AB54">INDEX(Curva_Temp[Warranted Power Curve for 
1.194Kg/m3 air density '[kW']
SG 5.0-145 (AM 0, 5.0MW) AT 
90M],MATCH(TBL_CalcDarwin[[#This Row],[Darwin Temp.
°C]],Curva_Temp[Temp])+1)</f>
        <v>5000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54" s="29">
        <f>TBL_CalcDarwin[[#This Row],[Expansión - Barra B - 5.2 - Cerro]]*TBL_CalcDarwin[[#This Row],[AEG 5.2 MW Cerro]]</f>
        <v>0.38200000000000001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45446.208333333212</v>
      </c>
      <c r="C55" s="17">
        <f t="shared" si="5"/>
        <v>2.2083333333333339</v>
      </c>
      <c r="D55" s="34">
        <f>TBL_CalcDarwin[[#This Row],[Darwin PLOM
MW]]+TBL_CalcDarwin[[#This Row],[Darwin PLOME
MW]]</f>
        <v>22.497000000000003</v>
      </c>
      <c r="E55" s="34">
        <f>TBL_CalcDarwin[[#This Row],[PLOM MW TOTAL BARRA A]]+TBL_CalcDarwin[[#This Row],[PLOM MW TOTAL BARRA B]]</f>
        <v>21.627000000000002</v>
      </c>
      <c r="F55" s="34">
        <f>TBL_CalcDarwin[[#This Row],[PLOME MW TOTAL BARRA A]]+TBL_CalcDarwin[[#This Row],[PLOME MW TOTAL BARRA B]]</f>
        <v>0.87</v>
      </c>
      <c r="G55" s="48">
        <f>'Plantilla Datos'!D60</f>
        <v>3.9</v>
      </c>
      <c r="H55" s="48">
        <f>'Plantilla Datos'!E60</f>
        <v>5</v>
      </c>
      <c r="I55" s="49">
        <f>'Plantilla Datos'!F60</f>
        <v>16.3</v>
      </c>
      <c r="J55" s="47">
        <f>CEILING('Plantilla Datos'!$L$3*TBL_CalcDarwin[[#This Row],[Darwin Gusts
m/s]],0.5)</f>
        <v>4</v>
      </c>
      <c r="K55" s="47">
        <f>CEILING('Plantilla Datos'!$L$4*TBL_CalcDarwin[[#This Row],[Darwin Gusts
m/s]],0.5)</f>
        <v>4.5</v>
      </c>
      <c r="L55" s="47">
        <f>CEILING(TBL_CalcDarwin[[#This Row],[Darwin Gusts
m/s]],0.5)</f>
        <v>5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55" s="41">
        <f>INDEX(Curva_Temp[Temp],MATCH(TBL_CalcDarwin[[#This Row],[Darwin Temp.
°C]],Curva_Temp[Temp]))</f>
        <v>15</v>
      </c>
      <c r="R55" s="41">
        <f>INDEX(Curva_Temp[Warranted Power Curve for 
1.194Kg/m3 air density '[kW']
SG 5.0-145 (AM+1, 5.2MW) AT 
90M],MATCH(TBL_CalcDarwin[[#This Row],[Darwin Temp.
°C]],Curva_Temp[Temp]))</f>
        <v>5200</v>
      </c>
      <c r="S55" s="41" cm="1">
        <f t="array" ref="S55">INDEX(Curva_Temp[Temp],MATCH(TBL_CalcDarwin[[#This Row],[Darwin Temp.
°C]],Curva_Temp[Temp])+1)</f>
        <v>20</v>
      </c>
      <c r="T55" s="41" cm="1">
        <f t="array" ref="T55">INDEX(Curva_Temp[Warranted Power Curve for 
1.194Kg/m3 air density '[kW']
SG 5.0-145 (AM+1, 5.2MW) AT 
90M],MATCH(TBL_CalcDarwin[[#This Row],[Darwin Temp.
°C]],Curva_Temp[Temp])+1)</f>
        <v>5000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55" s="41">
        <f>INDEX(Curva_Temp[Temp],MATCH(TBL_CalcDarwin[[#This Row],[Darwin Temp.
°C]],Curva_Temp[Temp]))</f>
        <v>15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20</v>
      </c>
      <c r="AB55" s="41" cm="1">
        <f t="array" ref="AB55">INDEX(Curva_Temp[Warranted Power Curve for 
1.194Kg/m3 air density '[kW']
SG 5.0-145 (AM 0, 5.0MW) AT 
90M],MATCH(TBL_CalcDarwin[[#This Row],[Darwin Temp.
°C]],Curva_Temp[Temp])+1)</f>
        <v>5000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55" s="29">
        <f>TBL_CalcDarwin[[#This Row],[Expansión - Barra B - 5.2 - Cerro]]*TBL_CalcDarwin[[#This Row],[AEG 5.2 MW Cerro]]</f>
        <v>0.24399999999999999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45446.249999999876</v>
      </c>
      <c r="C56" s="17">
        <f t="shared" si="5"/>
        <v>2.2500000000000004</v>
      </c>
      <c r="D56" s="34">
        <f>TBL_CalcDarwin[[#This Row],[Darwin PLOM
MW]]+TBL_CalcDarwin[[#This Row],[Darwin PLOME
MW]]</f>
        <v>15.102</v>
      </c>
      <c r="E56" s="34">
        <f>TBL_CalcDarwin[[#This Row],[PLOM MW TOTAL BARRA A]]+TBL_CalcDarwin[[#This Row],[PLOM MW TOTAL BARRA B]]</f>
        <v>14.598000000000001</v>
      </c>
      <c r="F56" s="34">
        <f>TBL_CalcDarwin[[#This Row],[PLOME MW TOTAL BARRA A]]+TBL_CalcDarwin[[#This Row],[PLOME MW TOTAL BARRA B]]</f>
        <v>0.504</v>
      </c>
      <c r="G56" s="48">
        <f>'Plantilla Datos'!D61</f>
        <v>3.3</v>
      </c>
      <c r="H56" s="48">
        <f>'Plantilla Datos'!E61</f>
        <v>4.3</v>
      </c>
      <c r="I56" s="49">
        <f>'Plantilla Datos'!F61</f>
        <v>16.600000000000001</v>
      </c>
      <c r="J56" s="47">
        <f>CEILING('Plantilla Datos'!$L$3*TBL_CalcDarwin[[#This Row],[Darwin Gusts
m/s]],0.5)</f>
        <v>3.5</v>
      </c>
      <c r="K56" s="47">
        <f>CEILING('Plantilla Datos'!$L$4*TBL_CalcDarwin[[#This Row],[Darwin Gusts
m/s]],0.5)</f>
        <v>4</v>
      </c>
      <c r="L56" s="47">
        <f>CEILING(TBL_CalcDarwin[[#This Row],[Darwin Gusts
m/s]],0.5)</f>
        <v>4.5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56" s="41">
        <f>INDEX(Curva_Temp[Temp],MATCH(TBL_CalcDarwin[[#This Row],[Darwin Temp.
°C]],Curva_Temp[Temp]))</f>
        <v>15</v>
      </c>
      <c r="R56" s="41">
        <f>INDEX(Curva_Temp[Warranted Power Curve for 
1.194Kg/m3 air density '[kW']
SG 5.0-145 (AM+1, 5.2MW) AT 
90M],MATCH(TBL_CalcDarwin[[#This Row],[Darwin Temp.
°C]],Curva_Temp[Temp]))</f>
        <v>5200</v>
      </c>
      <c r="S56" s="41" cm="1">
        <f t="array" ref="S56">INDEX(Curva_Temp[Temp],MATCH(TBL_CalcDarwin[[#This Row],[Darwin Temp.
°C]],Curva_Temp[Temp])+1)</f>
        <v>20</v>
      </c>
      <c r="T56" s="41" cm="1">
        <f t="array" ref="T56">INDEX(Curva_Temp[Warranted Power Curve for 
1.194Kg/m3 air density '[kW']
SG 5.0-145 (AM+1, 5.2MW) AT 
90M],MATCH(TBL_CalcDarwin[[#This Row],[Darwin Temp.
°C]],Curva_Temp[Temp])+1)</f>
        <v>5000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56" s="41">
        <f>INDEX(Curva_Temp[Temp],MATCH(TBL_CalcDarwin[[#This Row],[Darwin Temp.
°C]],Curva_Temp[Temp]))</f>
        <v>15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20</v>
      </c>
      <c r="AB56" s="41" cm="1">
        <f t="array" ref="AB56">INDEX(Curva_Temp[Warranted Power Curve for 
1.194Kg/m3 air density '[kW']
SG 5.0-145 (AM 0, 5.0MW) AT 
90M],MATCH(TBL_CalcDarwin[[#This Row],[Darwin Temp.
°C]],Curva_Temp[Temp])+1)</f>
        <v>5000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56" s="29">
        <f>TBL_CalcDarwin[[#This Row],[Expansión - Barra B - 5.2 - Cerro]]*TBL_CalcDarwin[[#This Row],[AEG 5.2 MW Cerro]]</f>
        <v>0.13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45446.291666666541</v>
      </c>
      <c r="C57" s="17">
        <f t="shared" si="5"/>
        <v>2.291666666666667</v>
      </c>
      <c r="D57" s="34">
        <f>TBL_CalcDarwin[[#This Row],[Darwin PLOM
MW]]+TBL_CalcDarwin[[#This Row],[Darwin PLOME
MW]]</f>
        <v>9.1110000000000007</v>
      </c>
      <c r="E57" s="34">
        <f>TBL_CalcDarwin[[#This Row],[PLOM MW TOTAL BARRA A]]+TBL_CalcDarwin[[#This Row],[PLOM MW TOTAL BARRA B]]</f>
        <v>8.8710000000000004</v>
      </c>
      <c r="F57" s="34">
        <f>TBL_CalcDarwin[[#This Row],[PLOME MW TOTAL BARRA A]]+TBL_CalcDarwin[[#This Row],[PLOME MW TOTAL BARRA B]]</f>
        <v>0.24</v>
      </c>
      <c r="G57" s="48">
        <f>'Plantilla Datos'!D62</f>
        <v>2.7</v>
      </c>
      <c r="H57" s="48">
        <f>'Plantilla Datos'!E62</f>
        <v>3.6</v>
      </c>
      <c r="I57" s="49">
        <f>'Plantilla Datos'!F62</f>
        <v>17.100000000000001</v>
      </c>
      <c r="J57" s="47">
        <f>CEILING('Plantilla Datos'!$L$3*TBL_CalcDarwin[[#This Row],[Darwin Gusts
m/s]],0.5)</f>
        <v>3</v>
      </c>
      <c r="K57" s="47">
        <f>CEILING('Plantilla Datos'!$L$4*TBL_CalcDarwin[[#This Row],[Darwin Gusts
m/s]],0.5)</f>
        <v>3.5</v>
      </c>
      <c r="L57" s="47">
        <f>CEILING(TBL_CalcDarwin[[#This Row],[Darwin Gusts
m/s]],0.5)</f>
        <v>4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57" s="41">
        <f>INDEX(Curva_Temp[Temp],MATCH(TBL_CalcDarwin[[#This Row],[Darwin Temp.
°C]],Curva_Temp[Temp]))</f>
        <v>15</v>
      </c>
      <c r="R57" s="41">
        <f>INDEX(Curva_Temp[Warranted Power Curve for 
1.194Kg/m3 air density '[kW']
SG 5.0-145 (AM+1, 5.2MW) AT 
90M],MATCH(TBL_CalcDarwin[[#This Row],[Darwin Temp.
°C]],Curva_Temp[Temp]))</f>
        <v>5200</v>
      </c>
      <c r="S57" s="41" cm="1">
        <f t="array" ref="S57">INDEX(Curva_Temp[Temp],MATCH(TBL_CalcDarwin[[#This Row],[Darwin Temp.
°C]],Curva_Temp[Temp])+1)</f>
        <v>20</v>
      </c>
      <c r="T57" s="41" cm="1">
        <f t="array" ref="T57">INDEX(Curva_Temp[Warranted Power Curve for 
1.194Kg/m3 air density '[kW']
SG 5.0-145 (AM+1, 5.2MW) AT 
90M],MATCH(TBL_CalcDarwin[[#This Row],[Darwin Temp.
°C]],Curva_Temp[Temp])+1)</f>
        <v>5000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57" s="41">
        <f>INDEX(Curva_Temp[Temp],MATCH(TBL_CalcDarwin[[#This Row],[Darwin Temp.
°C]],Curva_Temp[Temp]))</f>
        <v>15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20</v>
      </c>
      <c r="AB57" s="41" cm="1">
        <f t="array" ref="AB57">INDEX(Curva_Temp[Warranted Power Curve for 
1.194Kg/m3 air density '[kW']
SG 5.0-145 (AM 0, 5.0MW) AT 
90M],MATCH(TBL_CalcDarwin[[#This Row],[Darwin Temp.
°C]],Curva_Temp[Temp])+1)</f>
        <v>5000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57" s="29">
        <f>TBL_CalcDarwin[[#This Row],[Expansión - Barra B - 5.2 - Cerro]]*TBL_CalcDarwin[[#This Row],[AEG 5.2 MW Cerro]]</f>
        <v>5.5E-2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45446.333333333205</v>
      </c>
      <c r="C58" s="17">
        <f t="shared" si="5"/>
        <v>2.3333333333333335</v>
      </c>
      <c r="D58" s="34">
        <f>TBL_CalcDarwin[[#This Row],[Darwin PLOM
MW]]+TBL_CalcDarwin[[#This Row],[Darwin PLOME
MW]]</f>
        <v>4.9080000000000004</v>
      </c>
      <c r="E58" s="34">
        <f>TBL_CalcDarwin[[#This Row],[PLOM MW TOTAL BARRA A]]+TBL_CalcDarwin[[#This Row],[PLOM MW TOTAL BARRA B]]</f>
        <v>4.7430000000000003</v>
      </c>
      <c r="F58" s="34">
        <f>TBL_CalcDarwin[[#This Row],[PLOME MW TOTAL BARRA A]]+TBL_CalcDarwin[[#This Row],[PLOME MW TOTAL BARRA B]]</f>
        <v>0.16500000000000001</v>
      </c>
      <c r="G58" s="48">
        <f>'Plantilla Datos'!D63</f>
        <v>2.6</v>
      </c>
      <c r="H58" s="48">
        <f>'Plantilla Datos'!E63</f>
        <v>3.5</v>
      </c>
      <c r="I58" s="49">
        <f>'Plantilla Datos'!F63</f>
        <v>17.399999999999999</v>
      </c>
      <c r="J58" s="47">
        <f>CEILING('Plantilla Datos'!$L$3*TBL_CalcDarwin[[#This Row],[Darwin Gusts
m/s]],0.5)</f>
        <v>3</v>
      </c>
      <c r="K58" s="47">
        <f>CEILING('Plantilla Datos'!$L$4*TBL_CalcDarwin[[#This Row],[Darwin Gusts
m/s]],0.5)</f>
        <v>3</v>
      </c>
      <c r="L58" s="47">
        <f>CEILING(TBL_CalcDarwin[[#This Row],[Darwin Gusts
m/s]],0.5)</f>
        <v>3.5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58" s="41">
        <f>INDEX(Curva_Temp[Temp],MATCH(TBL_CalcDarwin[[#This Row],[Darwin Temp.
°C]],Curva_Temp[Temp]))</f>
        <v>15</v>
      </c>
      <c r="R58" s="41">
        <f>INDEX(Curva_Temp[Warranted Power Curve for 
1.194Kg/m3 air density '[kW']
SG 5.0-145 (AM+1, 5.2MW) AT 
90M],MATCH(TBL_CalcDarwin[[#This Row],[Darwin Temp.
°C]],Curva_Temp[Temp]))</f>
        <v>5200</v>
      </c>
      <c r="S58" s="41" cm="1">
        <f t="array" ref="S58">INDEX(Curva_Temp[Temp],MATCH(TBL_CalcDarwin[[#This Row],[Darwin Temp.
°C]],Curva_Temp[Temp])+1)</f>
        <v>20</v>
      </c>
      <c r="T58" s="41" cm="1">
        <f t="array" ref="T58">INDEX(Curva_Temp[Warranted Power Curve for 
1.194Kg/m3 air density '[kW']
SG 5.0-145 (AM+1, 5.2MW) AT 
90M],MATCH(TBL_CalcDarwin[[#This Row],[Darwin Temp.
°C]],Curva_Temp[Temp])+1)</f>
        <v>5000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58" s="41">
        <f>INDEX(Curva_Temp[Temp],MATCH(TBL_CalcDarwin[[#This Row],[Darwin Temp.
°C]],Curva_Temp[Temp]))</f>
        <v>15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20</v>
      </c>
      <c r="AB58" s="41" cm="1">
        <f t="array" ref="AB58">INDEX(Curva_Temp[Warranted Power Curve for 
1.194Kg/m3 air density '[kW']
SG 5.0-145 (AM 0, 5.0MW) AT 
90M],MATCH(TBL_CalcDarwin[[#This Row],[Darwin Temp.
°C]],Curva_Temp[Temp])+1)</f>
        <v>5000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2.0900000000000003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2.653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58" s="29">
        <f>TBL_CalcDarwin[[#This Row],[Expansión - Barra B - 5.2 - Cerro]]*TBL_CalcDarwin[[#This Row],[AEG 5.2 MW Cerro]]</f>
        <v>5.5E-2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45446.374999999869</v>
      </c>
      <c r="C59" s="17">
        <f t="shared" si="5"/>
        <v>2.375</v>
      </c>
      <c r="D59" s="34">
        <f>TBL_CalcDarwin[[#This Row],[Darwin PLOM
MW]]+TBL_CalcDarwin[[#This Row],[Darwin PLOME
MW]]</f>
        <v>4.47</v>
      </c>
      <c r="E59" s="34">
        <f>TBL_CalcDarwin[[#This Row],[PLOM MW TOTAL BARRA A]]+TBL_CalcDarwin[[#This Row],[PLOM MW TOTAL BARRA B]]</f>
        <v>4.415</v>
      </c>
      <c r="F59" s="34">
        <f>TBL_CalcDarwin[[#This Row],[PLOME MW TOTAL BARRA A]]+TBL_CalcDarwin[[#This Row],[PLOME MW TOTAL BARRA B]]</f>
        <v>5.5E-2</v>
      </c>
      <c r="G59" s="48">
        <f>'Plantilla Datos'!D64</f>
        <v>2.5</v>
      </c>
      <c r="H59" s="48">
        <f>'Plantilla Datos'!E64</f>
        <v>3.4</v>
      </c>
      <c r="I59" s="49">
        <f>'Plantilla Datos'!F64</f>
        <v>17.600000000000001</v>
      </c>
      <c r="J59" s="47">
        <f>CEILING('Plantilla Datos'!$L$3*TBL_CalcDarwin[[#This Row],[Darwin Gusts
m/s]],0.5)</f>
        <v>2.5</v>
      </c>
      <c r="K59" s="47">
        <f>CEILING('Plantilla Datos'!$L$4*TBL_CalcDarwin[[#This Row],[Darwin Gusts
m/s]],0.5)</f>
        <v>3</v>
      </c>
      <c r="L59" s="47">
        <f>CEILING(TBL_CalcDarwin[[#This Row],[Darwin Gusts
m/s]],0.5)</f>
        <v>3.5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59" s="41">
        <f>INDEX(Curva_Temp[Temp],MATCH(TBL_CalcDarwin[[#This Row],[Darwin Temp.
°C]],Curva_Temp[Temp]))</f>
        <v>15</v>
      </c>
      <c r="R59" s="41">
        <f>INDEX(Curva_Temp[Warranted Power Curve for 
1.194Kg/m3 air density '[kW']
SG 5.0-145 (AM+1, 5.2MW) AT 
90M],MATCH(TBL_CalcDarwin[[#This Row],[Darwin Temp.
°C]],Curva_Temp[Temp]))</f>
        <v>5200</v>
      </c>
      <c r="S59" s="41" cm="1">
        <f t="array" ref="S59">INDEX(Curva_Temp[Temp],MATCH(TBL_CalcDarwin[[#This Row],[Darwin Temp.
°C]],Curva_Temp[Temp])+1)</f>
        <v>20</v>
      </c>
      <c r="T59" s="41" cm="1">
        <f t="array" ref="T59">INDEX(Curva_Temp[Warranted Power Curve for 
1.194Kg/m3 air density '[kW']
SG 5.0-145 (AM+1, 5.2MW) AT 
90M],MATCH(TBL_CalcDarwin[[#This Row],[Darwin Temp.
°C]],Curva_Temp[Temp])+1)</f>
        <v>5000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59" s="41">
        <f>INDEX(Curva_Temp[Temp],MATCH(TBL_CalcDarwin[[#This Row],[Darwin Temp.
°C]],Curva_Temp[Temp]))</f>
        <v>15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20</v>
      </c>
      <c r="AB59" s="41" cm="1">
        <f t="array" ref="AB59">INDEX(Curva_Temp[Warranted Power Curve for 
1.194Kg/m3 air density '[kW']
SG 5.0-145 (AM 0, 5.0MW) AT 
90M],MATCH(TBL_CalcDarwin[[#This Row],[Darwin Temp.
°C]],Curva_Temp[Temp])+1)</f>
        <v>5000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59" s="29">
        <f>TBL_CalcDarwin[[#This Row],[Expansión - Barra B - 5.2 - Cerro]]*TBL_CalcDarwin[[#This Row],[AEG 5.2 MW Cerro]]</f>
        <v>0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45446.416666666533</v>
      </c>
      <c r="C60" s="17">
        <f t="shared" si="5"/>
        <v>2.4166666666666665</v>
      </c>
      <c r="D60" s="34">
        <f>TBL_CalcDarwin[[#This Row],[Darwin PLOM
MW]]+TBL_CalcDarwin[[#This Row],[Darwin PLOME
MW]]</f>
        <v>4.47</v>
      </c>
      <c r="E60" s="34">
        <f>TBL_CalcDarwin[[#This Row],[PLOM MW TOTAL BARRA A]]+TBL_CalcDarwin[[#This Row],[PLOM MW TOTAL BARRA B]]</f>
        <v>4.415</v>
      </c>
      <c r="F60" s="34">
        <f>TBL_CalcDarwin[[#This Row],[PLOME MW TOTAL BARRA A]]+TBL_CalcDarwin[[#This Row],[PLOME MW TOTAL BARRA B]]</f>
        <v>5.5E-2</v>
      </c>
      <c r="G60" s="48">
        <f>'Plantilla Datos'!D65</f>
        <v>2.4</v>
      </c>
      <c r="H60" s="48">
        <f>'Plantilla Datos'!E65</f>
        <v>3.3</v>
      </c>
      <c r="I60" s="49">
        <f>'Plantilla Datos'!F65</f>
        <v>17.899999999999999</v>
      </c>
      <c r="J60" s="47">
        <f>CEILING('Plantilla Datos'!$L$3*TBL_CalcDarwin[[#This Row],[Darwin Gusts
m/s]],0.5)</f>
        <v>2.5</v>
      </c>
      <c r="K60" s="47">
        <f>CEILING('Plantilla Datos'!$L$4*TBL_CalcDarwin[[#This Row],[Darwin Gusts
m/s]],0.5)</f>
        <v>3</v>
      </c>
      <c r="L60" s="47">
        <f>CEILING(TBL_CalcDarwin[[#This Row],[Darwin Gusts
m/s]],0.5)</f>
        <v>3.5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60" s="41">
        <f>INDEX(Curva_Temp[Temp],MATCH(TBL_CalcDarwin[[#This Row],[Darwin Temp.
°C]],Curva_Temp[Temp]))</f>
        <v>15</v>
      </c>
      <c r="R60" s="41">
        <f>INDEX(Curva_Temp[Warranted Power Curve for 
1.194Kg/m3 air density '[kW']
SG 5.0-145 (AM+1, 5.2MW) AT 
90M],MATCH(TBL_CalcDarwin[[#This Row],[Darwin Temp.
°C]],Curva_Temp[Temp]))</f>
        <v>5200</v>
      </c>
      <c r="S60" s="41" cm="1">
        <f t="array" ref="S60">INDEX(Curva_Temp[Temp],MATCH(TBL_CalcDarwin[[#This Row],[Darwin Temp.
°C]],Curva_Temp[Temp])+1)</f>
        <v>20</v>
      </c>
      <c r="T60" s="41" cm="1">
        <f t="array" ref="T60">INDEX(Curva_Temp[Warranted Power Curve for 
1.194Kg/m3 air density '[kW']
SG 5.0-145 (AM+1, 5.2MW) AT 
90M],MATCH(TBL_CalcDarwin[[#This Row],[Darwin Temp.
°C]],Curva_Temp[Temp])+1)</f>
        <v>5000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60" s="41">
        <f>INDEX(Curva_Temp[Temp],MATCH(TBL_CalcDarwin[[#This Row],[Darwin Temp.
°C]],Curva_Temp[Temp]))</f>
        <v>15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20</v>
      </c>
      <c r="AB60" s="41" cm="1">
        <f t="array" ref="AB60">INDEX(Curva_Temp[Warranted Power Curve for 
1.194Kg/m3 air density '[kW']
SG 5.0-145 (AM 0, 5.0MW) AT 
90M],MATCH(TBL_CalcDarwin[[#This Row],[Darwin Temp.
°C]],Curva_Temp[Temp])+1)</f>
        <v>5000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60" s="29">
        <f>TBL_CalcDarwin[[#This Row],[Expansión - Barra B - 5.2 - Cerro]]*TBL_CalcDarwin[[#This Row],[AEG 5.2 MW Cerro]]</f>
        <v>0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45446.458333333198</v>
      </c>
      <c r="C61" s="17">
        <f t="shared" si="5"/>
        <v>2.458333333333333</v>
      </c>
      <c r="D61" s="34">
        <f>TBL_CalcDarwin[[#This Row],[Darwin PLOM
MW]]+TBL_CalcDarwin[[#This Row],[Darwin PLOME
MW]]</f>
        <v>9.4850000000000012</v>
      </c>
      <c r="E61" s="34">
        <f>TBL_CalcDarwin[[#This Row],[PLOM MW TOTAL BARRA A]]+TBL_CalcDarwin[[#This Row],[PLOM MW TOTAL BARRA B]]</f>
        <v>9.245000000000001</v>
      </c>
      <c r="F61" s="34">
        <f>TBL_CalcDarwin[[#This Row],[PLOME MW TOTAL BARRA A]]+TBL_CalcDarwin[[#This Row],[PLOME MW TOTAL BARRA B]]</f>
        <v>0.24</v>
      </c>
      <c r="G61" s="48">
        <f>'Plantilla Datos'!D66</f>
        <v>2.9</v>
      </c>
      <c r="H61" s="48">
        <f>'Plantilla Datos'!E66</f>
        <v>3.9</v>
      </c>
      <c r="I61" s="49">
        <f>'Plantilla Datos'!F66</f>
        <v>18.2</v>
      </c>
      <c r="J61" s="47">
        <f>CEILING('Plantilla Datos'!$L$3*TBL_CalcDarwin[[#This Row],[Darwin Gusts
m/s]],0.5)</f>
        <v>3</v>
      </c>
      <c r="K61" s="47">
        <f>CEILING('Plantilla Datos'!$L$4*TBL_CalcDarwin[[#This Row],[Darwin Gusts
m/s]],0.5)</f>
        <v>3.5</v>
      </c>
      <c r="L61" s="47">
        <f>CEILING(TBL_CalcDarwin[[#This Row],[Darwin Gusts
m/s]],0.5)</f>
        <v>4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61" s="41">
        <f>INDEX(Curva_Temp[Temp],MATCH(TBL_CalcDarwin[[#This Row],[Darwin Temp.
°C]],Curva_Temp[Temp]))</f>
        <v>15</v>
      </c>
      <c r="R61" s="41">
        <f>INDEX(Curva_Temp[Warranted Power Curve for 
1.194Kg/m3 air density '[kW']
SG 5.0-145 (AM+1, 5.2MW) AT 
90M],MATCH(TBL_CalcDarwin[[#This Row],[Darwin Temp.
°C]],Curva_Temp[Temp]))</f>
        <v>5200</v>
      </c>
      <c r="S61" s="41" cm="1">
        <f t="array" ref="S61">INDEX(Curva_Temp[Temp],MATCH(TBL_CalcDarwin[[#This Row],[Darwin Temp.
°C]],Curva_Temp[Temp])+1)</f>
        <v>20</v>
      </c>
      <c r="T61" s="41" cm="1">
        <f t="array" ref="T61">INDEX(Curva_Temp[Warranted Power Curve for 
1.194Kg/m3 air density '[kW']
SG 5.0-145 (AM+1, 5.2MW) AT 
90M],MATCH(TBL_CalcDarwin[[#This Row],[Darwin Temp.
°C]],Curva_Temp[Temp])+1)</f>
        <v>5000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61" s="41">
        <f>INDEX(Curva_Temp[Temp],MATCH(TBL_CalcDarwin[[#This Row],[Darwin Temp.
°C]],Curva_Temp[Temp]))</f>
        <v>15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20</v>
      </c>
      <c r="AB61" s="41" cm="1">
        <f t="array" ref="AB61">INDEX(Curva_Temp[Warranted Power Curve for 
1.194Kg/m3 air density '[kW']
SG 5.0-145 (AM 0, 5.0MW) AT 
90M],MATCH(TBL_CalcDarwin[[#This Row],[Darwin Temp.
°C]],Curva_Temp[Temp])+1)</f>
        <v>5000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61" s="29">
        <f>TBL_CalcDarwin[[#This Row],[Expansión - Barra B - 5.2 - Cerro]]*TBL_CalcDarwin[[#This Row],[AEG 5.2 MW Cerro]]</f>
        <v>5.5E-2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45446.499999999862</v>
      </c>
      <c r="C62" s="17">
        <f t="shared" si="5"/>
        <v>2.4999999999999996</v>
      </c>
      <c r="D62" s="34">
        <f>TBL_CalcDarwin[[#This Row],[Darwin PLOM
MW]]+TBL_CalcDarwin[[#This Row],[Darwin PLOME
MW]]</f>
        <v>15.728</v>
      </c>
      <c r="E62" s="34">
        <f>TBL_CalcDarwin[[#This Row],[PLOM MW TOTAL BARRA A]]+TBL_CalcDarwin[[#This Row],[PLOM MW TOTAL BARRA B]]</f>
        <v>15.224</v>
      </c>
      <c r="F62" s="34">
        <f>TBL_CalcDarwin[[#This Row],[PLOME MW TOTAL BARRA A]]+TBL_CalcDarwin[[#This Row],[PLOME MW TOTAL BARRA B]]</f>
        <v>0.504</v>
      </c>
      <c r="G62" s="48">
        <f>'Plantilla Datos'!D67</f>
        <v>3.4</v>
      </c>
      <c r="H62" s="48">
        <f>'Plantilla Datos'!E67</f>
        <v>4.5</v>
      </c>
      <c r="I62" s="49">
        <f>'Plantilla Datos'!F67</f>
        <v>18.5</v>
      </c>
      <c r="J62" s="47">
        <f>CEILING('Plantilla Datos'!$L$3*TBL_CalcDarwin[[#This Row],[Darwin Gusts
m/s]],0.5)</f>
        <v>3.5</v>
      </c>
      <c r="K62" s="47">
        <f>CEILING('Plantilla Datos'!$L$4*TBL_CalcDarwin[[#This Row],[Darwin Gusts
m/s]],0.5)</f>
        <v>4</v>
      </c>
      <c r="L62" s="47">
        <f>CEILING(TBL_CalcDarwin[[#This Row],[Darwin Gusts
m/s]],0.5)</f>
        <v>4.5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62" s="41">
        <f>INDEX(Curva_Temp[Temp],MATCH(TBL_CalcDarwin[[#This Row],[Darwin Temp.
°C]],Curva_Temp[Temp]))</f>
        <v>15</v>
      </c>
      <c r="R62" s="41">
        <f>INDEX(Curva_Temp[Warranted Power Curve for 
1.194Kg/m3 air density '[kW']
SG 5.0-145 (AM+1, 5.2MW) AT 
90M],MATCH(TBL_CalcDarwin[[#This Row],[Darwin Temp.
°C]],Curva_Temp[Temp]))</f>
        <v>5200</v>
      </c>
      <c r="S62" s="41" cm="1">
        <f t="array" ref="S62">INDEX(Curva_Temp[Temp],MATCH(TBL_CalcDarwin[[#This Row],[Darwin Temp.
°C]],Curva_Temp[Temp])+1)</f>
        <v>20</v>
      </c>
      <c r="T62" s="41" cm="1">
        <f t="array" ref="T62">INDEX(Curva_Temp[Warranted Power Curve for 
1.194Kg/m3 air density '[kW']
SG 5.0-145 (AM+1, 5.2MW) AT 
90M],MATCH(TBL_CalcDarwin[[#This Row],[Darwin Temp.
°C]],Curva_Temp[Temp])+1)</f>
        <v>5000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62" s="41">
        <f>INDEX(Curva_Temp[Temp],MATCH(TBL_CalcDarwin[[#This Row],[Darwin Temp.
°C]],Curva_Temp[Temp]))</f>
        <v>15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20</v>
      </c>
      <c r="AB62" s="41" cm="1">
        <f t="array" ref="AB62">INDEX(Curva_Temp[Warranted Power Curve for 
1.194Kg/m3 air density '[kW']
SG 5.0-145 (AM 0, 5.0MW) AT 
90M],MATCH(TBL_CalcDarwin[[#This Row],[Darwin Temp.
°C]],Curva_Temp[Temp])+1)</f>
        <v>5000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62" s="29">
        <f>TBL_CalcDarwin[[#This Row],[Expansión - Barra B - 5.2 - Cerro]]*TBL_CalcDarwin[[#This Row],[AEG 5.2 MW Cerro]]</f>
        <v>0.13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45446.541666666526</v>
      </c>
      <c r="C63" s="17">
        <f t="shared" si="5"/>
        <v>2.5416666666666661</v>
      </c>
      <c r="D63" s="34">
        <f>TBL_CalcDarwin[[#This Row],[Darwin PLOM
MW]]+TBL_CalcDarwin[[#This Row],[Darwin PLOME
MW]]</f>
        <v>29.592000000000002</v>
      </c>
      <c r="E63" s="34">
        <f>TBL_CalcDarwin[[#This Row],[PLOM MW TOTAL BARRA A]]+TBL_CalcDarwin[[#This Row],[PLOM MW TOTAL BARRA B]]</f>
        <v>28.722000000000001</v>
      </c>
      <c r="F63" s="34">
        <f>TBL_CalcDarwin[[#This Row],[PLOME MW TOTAL BARRA A]]+TBL_CalcDarwin[[#This Row],[PLOME MW TOTAL BARRA B]]</f>
        <v>0.87</v>
      </c>
      <c r="G63" s="48">
        <f>'Plantilla Datos'!D68</f>
        <v>3.9</v>
      </c>
      <c r="H63" s="48">
        <f>'Plantilla Datos'!E68</f>
        <v>5.0999999999999996</v>
      </c>
      <c r="I63" s="49">
        <f>'Plantilla Datos'!F68</f>
        <v>18.7</v>
      </c>
      <c r="J63" s="47">
        <f>CEILING('Plantilla Datos'!$L$3*TBL_CalcDarwin[[#This Row],[Darwin Gusts
m/s]],0.5)</f>
        <v>4</v>
      </c>
      <c r="K63" s="47">
        <f>CEILING('Plantilla Datos'!$L$4*TBL_CalcDarwin[[#This Row],[Darwin Gusts
m/s]],0.5)</f>
        <v>4.5</v>
      </c>
      <c r="L63" s="47">
        <f>CEILING(TBL_CalcDarwin[[#This Row],[Darwin Gusts
m/s]],0.5)</f>
        <v>5.5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63" s="41">
        <f>INDEX(Curva_Temp[Temp],MATCH(TBL_CalcDarwin[[#This Row],[Darwin Temp.
°C]],Curva_Temp[Temp]))</f>
        <v>15</v>
      </c>
      <c r="R63" s="41">
        <f>INDEX(Curva_Temp[Warranted Power Curve for 
1.194Kg/m3 air density '[kW']
SG 5.0-145 (AM+1, 5.2MW) AT 
90M],MATCH(TBL_CalcDarwin[[#This Row],[Darwin Temp.
°C]],Curva_Temp[Temp]))</f>
        <v>5200</v>
      </c>
      <c r="S63" s="41" cm="1">
        <f t="array" ref="S63">INDEX(Curva_Temp[Temp],MATCH(TBL_CalcDarwin[[#This Row],[Darwin Temp.
°C]],Curva_Temp[Temp])+1)</f>
        <v>20</v>
      </c>
      <c r="T63" s="41" cm="1">
        <f t="array" ref="T63">INDEX(Curva_Temp[Warranted Power Curve for 
1.194Kg/m3 air density '[kW']
SG 5.0-145 (AM+1, 5.2MW) AT 
90M],MATCH(TBL_CalcDarwin[[#This Row],[Darwin Temp.
°C]],Curva_Temp[Temp])+1)</f>
        <v>5000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63" s="41">
        <f>INDEX(Curva_Temp[Temp],MATCH(TBL_CalcDarwin[[#This Row],[Darwin Temp.
°C]],Curva_Temp[Temp]))</f>
        <v>15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20</v>
      </c>
      <c r="AB63" s="41" cm="1">
        <f t="array" ref="AB63">INDEX(Curva_Temp[Warranted Power Curve for 
1.194Kg/m3 air density '[kW']
SG 5.0-145 (AM 0, 5.0MW) AT 
90M],MATCH(TBL_CalcDarwin[[#This Row],[Darwin Temp.
°C]],Curva_Temp[Temp])+1)</f>
        <v>5000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13.215999999999999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63" s="29">
        <f>TBL_CalcDarwin[[#This Row],[Expansión - Barra B - 5.2 - Cerro]]*TBL_CalcDarwin[[#This Row],[AEG 5.2 MW Cerro]]</f>
        <v>0.24399999999999999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45446.58333333319</v>
      </c>
      <c r="C64" s="17">
        <f t="shared" si="5"/>
        <v>2.5833333333333326</v>
      </c>
      <c r="D64" s="34">
        <f>TBL_CalcDarwin[[#This Row],[Darwin PLOM
MW]]+TBL_CalcDarwin[[#This Row],[Darwin PLOME
MW]]</f>
        <v>51.224000000000004</v>
      </c>
      <c r="E64" s="34">
        <f>TBL_CalcDarwin[[#This Row],[PLOM MW TOTAL BARRA A]]+TBL_CalcDarwin[[#This Row],[PLOM MW TOTAL BARRA B]]</f>
        <v>49.715000000000003</v>
      </c>
      <c r="F64" s="34">
        <f>TBL_CalcDarwin[[#This Row],[PLOME MW TOTAL BARRA A]]+TBL_CalcDarwin[[#This Row],[PLOME MW TOTAL BARRA B]]</f>
        <v>1.5089999999999999</v>
      </c>
      <c r="G64" s="48">
        <f>'Plantilla Datos'!D69</f>
        <v>4.7</v>
      </c>
      <c r="H64" s="48">
        <f>'Plantilla Datos'!E69</f>
        <v>6.1</v>
      </c>
      <c r="I64" s="49">
        <f>'Plantilla Datos'!F69</f>
        <v>18.7</v>
      </c>
      <c r="J64" s="47">
        <f>CEILING('Plantilla Datos'!$L$3*TBL_CalcDarwin[[#This Row],[Darwin Gusts
m/s]],0.5)</f>
        <v>4.5</v>
      </c>
      <c r="K64" s="47">
        <f>CEILING('Plantilla Datos'!$L$4*TBL_CalcDarwin[[#This Row],[Darwin Gusts
m/s]],0.5)</f>
        <v>5.5</v>
      </c>
      <c r="L64" s="47">
        <f>CEILING(TBL_CalcDarwin[[#This Row],[Darwin Gusts
m/s]],0.5)</f>
        <v>6.5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64" s="41">
        <f>INDEX(Curva_Temp[Temp],MATCH(TBL_CalcDarwin[[#This Row],[Darwin Temp.
°C]],Curva_Temp[Temp]))</f>
        <v>15</v>
      </c>
      <c r="R64" s="41">
        <f>INDEX(Curva_Temp[Warranted Power Curve for 
1.194Kg/m3 air density '[kW']
SG 5.0-145 (AM+1, 5.2MW) AT 
90M],MATCH(TBL_CalcDarwin[[#This Row],[Darwin Temp.
°C]],Curva_Temp[Temp]))</f>
        <v>5200</v>
      </c>
      <c r="S64" s="41" cm="1">
        <f t="array" ref="S64">INDEX(Curva_Temp[Temp],MATCH(TBL_CalcDarwin[[#This Row],[Darwin Temp.
°C]],Curva_Temp[Temp])+1)</f>
        <v>20</v>
      </c>
      <c r="T64" s="41" cm="1">
        <f t="array" ref="T64">INDEX(Curva_Temp[Warranted Power Curve for 
1.194Kg/m3 air density '[kW']
SG 5.0-145 (AM+1, 5.2MW) AT 
90M],MATCH(TBL_CalcDarwin[[#This Row],[Darwin Temp.
°C]],Curva_Temp[Temp])+1)</f>
        <v>5000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64" s="41">
        <f>INDEX(Curva_Temp[Temp],MATCH(TBL_CalcDarwin[[#This Row],[Darwin Temp.
°C]],Curva_Temp[Temp]))</f>
        <v>15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20</v>
      </c>
      <c r="AB64" s="41" cm="1">
        <f t="array" ref="AB64">INDEX(Curva_Temp[Warranted Power Curve for 
1.194Kg/m3 air density '[kW']
SG 5.0-145 (AM 0, 5.0MW) AT 
90M],MATCH(TBL_CalcDarwin[[#This Row],[Darwin Temp.
°C]],Curva_Temp[Temp])+1)</f>
        <v>5000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64" s="29">
        <f>TBL_CalcDarwin[[#This Row],[Expansión - Barra B - 5.2 - Cerro]]*TBL_CalcDarwin[[#This Row],[AEG 5.2 MW Cerro]]</f>
        <v>0.38200000000000001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45446.624999999854</v>
      </c>
      <c r="C65" s="17">
        <f t="shared" si="5"/>
        <v>2.6249999999999991</v>
      </c>
      <c r="D65" s="34">
        <f>TBL_CalcDarwin[[#This Row],[Darwin PLOM
MW]]+TBL_CalcDarwin[[#This Row],[Darwin PLOME
MW]]</f>
        <v>67.24499999999999</v>
      </c>
      <c r="E65" s="34">
        <f>TBL_CalcDarwin[[#This Row],[PLOM MW TOTAL BARRA A]]+TBL_CalcDarwin[[#This Row],[PLOM MW TOTAL BARRA B]]</f>
        <v>64.771999999999991</v>
      </c>
      <c r="F65" s="34">
        <f>TBL_CalcDarwin[[#This Row],[PLOME MW TOTAL BARRA A]]+TBL_CalcDarwin[[#This Row],[PLOME MW TOTAL BARRA B]]</f>
        <v>2.4729999999999999</v>
      </c>
      <c r="G65" s="48">
        <f>'Plantilla Datos'!D70</f>
        <v>5.5</v>
      </c>
      <c r="H65" s="48">
        <f>'Plantilla Datos'!E70</f>
        <v>7</v>
      </c>
      <c r="I65" s="49">
        <f>'Plantilla Datos'!F70</f>
        <v>18.7</v>
      </c>
      <c r="J65" s="47">
        <f>CEILING('Plantilla Datos'!$L$3*TBL_CalcDarwin[[#This Row],[Darwin Gusts
m/s]],0.5)</f>
        <v>5.5</v>
      </c>
      <c r="K65" s="47">
        <f>CEILING('Plantilla Datos'!$L$4*TBL_CalcDarwin[[#This Row],[Darwin Gusts
m/s]],0.5)</f>
        <v>6</v>
      </c>
      <c r="L65" s="47">
        <f>CEILING(TBL_CalcDarwin[[#This Row],[Darwin Gusts
m/s]],0.5)</f>
        <v>7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65" s="41">
        <f>INDEX(Curva_Temp[Temp],MATCH(TBL_CalcDarwin[[#This Row],[Darwin Temp.
°C]],Curva_Temp[Temp]))</f>
        <v>15</v>
      </c>
      <c r="R65" s="41">
        <f>INDEX(Curva_Temp[Warranted Power Curve for 
1.194Kg/m3 air density '[kW']
SG 5.0-145 (AM+1, 5.2MW) AT 
90M],MATCH(TBL_CalcDarwin[[#This Row],[Darwin Temp.
°C]],Curva_Temp[Temp]))</f>
        <v>5200</v>
      </c>
      <c r="S65" s="41" cm="1">
        <f t="array" ref="S65">INDEX(Curva_Temp[Temp],MATCH(TBL_CalcDarwin[[#This Row],[Darwin Temp.
°C]],Curva_Temp[Temp])+1)</f>
        <v>20</v>
      </c>
      <c r="T65" s="41" cm="1">
        <f t="array" ref="T65">INDEX(Curva_Temp[Warranted Power Curve for 
1.194Kg/m3 air density '[kW']
SG 5.0-145 (AM+1, 5.2MW) AT 
90M],MATCH(TBL_CalcDarwin[[#This Row],[Darwin Temp.
°C]],Curva_Temp[Temp])+1)</f>
        <v>5000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65" s="41">
        <f>INDEX(Curva_Temp[Temp],MATCH(TBL_CalcDarwin[[#This Row],[Darwin Temp.
°C]],Curva_Temp[Temp]))</f>
        <v>15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20</v>
      </c>
      <c r="AB65" s="41" cm="1">
        <f t="array" ref="AB65">INDEX(Curva_Temp[Warranted Power Curve for 
1.194Kg/m3 air density '[kW']
SG 5.0-145 (AM 0, 5.0MW) AT 
90M],MATCH(TBL_CalcDarwin[[#This Row],[Darwin Temp.
°C]],Curva_Temp[Temp])+1)</f>
        <v>5000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30.753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65" s="29">
        <f>TBL_CalcDarwin[[#This Row],[Expansión - Barra B - 5.2 - Cerro]]*TBL_CalcDarwin[[#This Row],[AEG 5.2 MW Cerro]]</f>
        <v>0.745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45446.666666666519</v>
      </c>
      <c r="C66" s="17">
        <f t="shared" si="5"/>
        <v>2.6666666666666656</v>
      </c>
      <c r="D66" s="34">
        <f>TBL_CalcDarwin[[#This Row],[Darwin PLOM
MW]]+TBL_CalcDarwin[[#This Row],[Darwin PLOME
MW]]</f>
        <v>101.629</v>
      </c>
      <c r="E66" s="34">
        <f>TBL_CalcDarwin[[#This Row],[PLOM MW TOTAL BARRA A]]+TBL_CalcDarwin[[#This Row],[PLOM MW TOTAL BARRA B]]</f>
        <v>98.066000000000003</v>
      </c>
      <c r="F66" s="34">
        <f>TBL_CalcDarwin[[#This Row],[PLOME MW TOTAL BARRA A]]+TBL_CalcDarwin[[#This Row],[PLOME MW TOTAL BARRA B]]</f>
        <v>3.5630000000000002</v>
      </c>
      <c r="G66" s="48">
        <f>'Plantilla Datos'!D71</f>
        <v>6.3</v>
      </c>
      <c r="H66" s="48">
        <f>'Plantilla Datos'!E71</f>
        <v>8</v>
      </c>
      <c r="I66" s="49">
        <f>'Plantilla Datos'!F71</f>
        <v>18.7</v>
      </c>
      <c r="J66" s="47">
        <f>CEILING('Plantilla Datos'!$L$3*TBL_CalcDarwin[[#This Row],[Darwin Gusts
m/s]],0.5)</f>
        <v>6</v>
      </c>
      <c r="K66" s="47">
        <f>CEILING('Plantilla Datos'!$L$4*TBL_CalcDarwin[[#This Row],[Darwin Gusts
m/s]],0.5)</f>
        <v>7</v>
      </c>
      <c r="L66" s="47">
        <f>CEILING(TBL_CalcDarwin[[#This Row],[Darwin Gusts
m/s]],0.5)</f>
        <v>8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66" s="41">
        <f>INDEX(Curva_Temp[Temp],MATCH(TBL_CalcDarwin[[#This Row],[Darwin Temp.
°C]],Curva_Temp[Temp]))</f>
        <v>15</v>
      </c>
      <c r="R66" s="41">
        <f>INDEX(Curva_Temp[Warranted Power Curve for 
1.194Kg/m3 air density '[kW']
SG 5.0-145 (AM+1, 5.2MW) AT 
90M],MATCH(TBL_CalcDarwin[[#This Row],[Darwin Temp.
°C]],Curva_Temp[Temp]))</f>
        <v>5200</v>
      </c>
      <c r="S66" s="41" cm="1">
        <f t="array" ref="S66">INDEX(Curva_Temp[Temp],MATCH(TBL_CalcDarwin[[#This Row],[Darwin Temp.
°C]],Curva_Temp[Temp])+1)</f>
        <v>20</v>
      </c>
      <c r="T66" s="41" cm="1">
        <f t="array" ref="T66">INDEX(Curva_Temp[Warranted Power Curve for 
1.194Kg/m3 air density '[kW']
SG 5.0-145 (AM+1, 5.2MW) AT 
90M],MATCH(TBL_CalcDarwin[[#This Row],[Darwin Temp.
°C]],Curva_Temp[Temp])+1)</f>
        <v>5000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66" s="41">
        <f>INDEX(Curva_Temp[Temp],MATCH(TBL_CalcDarwin[[#This Row],[Darwin Temp.
°C]],Curva_Temp[Temp]))</f>
        <v>15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20</v>
      </c>
      <c r="AB66" s="41" cm="1">
        <f t="array" ref="AB66">INDEX(Curva_Temp[Warranted Power Curve for 
1.194Kg/m3 air density '[kW']
SG 5.0-145 (AM 0, 5.0MW) AT 
90M],MATCH(TBL_CalcDarwin[[#This Row],[Darwin Temp.
°C]],Curva_Temp[Temp])+1)</f>
        <v>5000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66" s="29">
        <f>TBL_CalcDarwin[[#This Row],[Expansión - Barra B - 5.2 - Cerro]]*TBL_CalcDarwin[[#This Row],[AEG 5.2 MW Cerro]]</f>
        <v>0.98299999999999998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45446.708333333183</v>
      </c>
      <c r="C67" s="17">
        <f t="shared" si="5"/>
        <v>2.7083333333333321</v>
      </c>
      <c r="D67" s="34">
        <f>TBL_CalcDarwin[[#This Row],[Darwin PLOM
MW]]+TBL_CalcDarwin[[#This Row],[Darwin PLOME
MW]]</f>
        <v>101.629</v>
      </c>
      <c r="E67" s="34">
        <f>TBL_CalcDarwin[[#This Row],[PLOM MW TOTAL BARRA A]]+TBL_CalcDarwin[[#This Row],[PLOM MW TOTAL BARRA B]]</f>
        <v>98.066000000000003</v>
      </c>
      <c r="F67" s="34">
        <f>TBL_CalcDarwin[[#This Row],[PLOME MW TOTAL BARRA A]]+TBL_CalcDarwin[[#This Row],[PLOME MW TOTAL BARRA B]]</f>
        <v>3.5630000000000002</v>
      </c>
      <c r="G67" s="48">
        <f>'Plantilla Datos'!D72</f>
        <v>6.1</v>
      </c>
      <c r="H67" s="48">
        <f>'Plantilla Datos'!E72</f>
        <v>7.7</v>
      </c>
      <c r="I67" s="49">
        <f>'Plantilla Datos'!F72</f>
        <v>18.8</v>
      </c>
      <c r="J67" s="47">
        <f>CEILING('Plantilla Datos'!$L$3*TBL_CalcDarwin[[#This Row],[Darwin Gusts
m/s]],0.5)</f>
        <v>6</v>
      </c>
      <c r="K67" s="47">
        <f>CEILING('Plantilla Datos'!$L$4*TBL_CalcDarwin[[#This Row],[Darwin Gusts
m/s]],0.5)</f>
        <v>7</v>
      </c>
      <c r="L67" s="47">
        <f>CEILING(TBL_CalcDarwin[[#This Row],[Darwin Gusts
m/s]],0.5)</f>
        <v>8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67" s="41">
        <f>INDEX(Curva_Temp[Temp],MATCH(TBL_CalcDarwin[[#This Row],[Darwin Temp.
°C]],Curva_Temp[Temp]))</f>
        <v>15</v>
      </c>
      <c r="R67" s="41">
        <f>INDEX(Curva_Temp[Warranted Power Curve for 
1.194Kg/m3 air density '[kW']
SG 5.0-145 (AM+1, 5.2MW) AT 
90M],MATCH(TBL_CalcDarwin[[#This Row],[Darwin Temp.
°C]],Curva_Temp[Temp]))</f>
        <v>5200</v>
      </c>
      <c r="S67" s="41" cm="1">
        <f t="array" ref="S67">INDEX(Curva_Temp[Temp],MATCH(TBL_CalcDarwin[[#This Row],[Darwin Temp.
°C]],Curva_Temp[Temp])+1)</f>
        <v>20</v>
      </c>
      <c r="T67" s="41" cm="1">
        <f t="array" ref="T67">INDEX(Curva_Temp[Warranted Power Curve for 
1.194Kg/m3 air density '[kW']
SG 5.0-145 (AM+1, 5.2MW) AT 
90M],MATCH(TBL_CalcDarwin[[#This Row],[Darwin Temp.
°C]],Curva_Temp[Temp])+1)</f>
        <v>5000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67" s="41">
        <f>INDEX(Curva_Temp[Temp],MATCH(TBL_CalcDarwin[[#This Row],[Darwin Temp.
°C]],Curva_Temp[Temp]))</f>
        <v>15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20</v>
      </c>
      <c r="AB67" s="41" cm="1">
        <f t="array" ref="AB67">INDEX(Curva_Temp[Warranted Power Curve for 
1.194Kg/m3 air density '[kW']
SG 5.0-145 (AM 0, 5.0MW) AT 
90M],MATCH(TBL_CalcDarwin[[#This Row],[Darwin Temp.
°C]],Curva_Temp[Temp])+1)</f>
        <v>5000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67" s="29">
        <f>TBL_CalcDarwin[[#This Row],[Expansión - Barra B - 5.2 - Cerro]]*TBL_CalcDarwin[[#This Row],[AEG 5.2 MW Cerro]]</f>
        <v>0.98299999999999998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45446.749999999847</v>
      </c>
      <c r="C68" s="17">
        <f t="shared" si="5"/>
        <v>2.7499999999999987</v>
      </c>
      <c r="D68" s="34">
        <f>TBL_CalcDarwin[[#This Row],[Darwin PLOM
MW]]+TBL_CalcDarwin[[#This Row],[Darwin PLOME
MW]]</f>
        <v>82.430999999999997</v>
      </c>
      <c r="E68" s="34">
        <f>TBL_CalcDarwin[[#This Row],[PLOM MW TOTAL BARRA A]]+TBL_CalcDarwin[[#This Row],[PLOM MW TOTAL BARRA B]]</f>
        <v>79.674999999999997</v>
      </c>
      <c r="F68" s="34">
        <f>TBL_CalcDarwin[[#This Row],[PLOME MW TOTAL BARRA A]]+TBL_CalcDarwin[[#This Row],[PLOME MW TOTAL BARRA B]]</f>
        <v>2.7560000000000002</v>
      </c>
      <c r="G68" s="48">
        <f>'Plantilla Datos'!D73</f>
        <v>5.9</v>
      </c>
      <c r="H68" s="48">
        <f>'Plantilla Datos'!E73</f>
        <v>7.5</v>
      </c>
      <c r="I68" s="49">
        <f>'Plantilla Datos'!F73</f>
        <v>18.600000000000001</v>
      </c>
      <c r="J68" s="47">
        <f>CEILING('Plantilla Datos'!$L$3*TBL_CalcDarwin[[#This Row],[Darwin Gusts
m/s]],0.5)</f>
        <v>5.5</v>
      </c>
      <c r="K68" s="47">
        <f>CEILING('Plantilla Datos'!$L$4*TBL_CalcDarwin[[#This Row],[Darwin Gusts
m/s]],0.5)</f>
        <v>6.5</v>
      </c>
      <c r="L68" s="47">
        <f>CEILING(TBL_CalcDarwin[[#This Row],[Darwin Gusts
m/s]],0.5)</f>
        <v>7.5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68" s="41">
        <f>INDEX(Curva_Temp[Temp],MATCH(TBL_CalcDarwin[[#This Row],[Darwin Temp.
°C]],Curva_Temp[Temp]))</f>
        <v>15</v>
      </c>
      <c r="R68" s="41">
        <f>INDEX(Curva_Temp[Warranted Power Curve for 
1.194Kg/m3 air density '[kW']
SG 5.0-145 (AM+1, 5.2MW) AT 
90M],MATCH(TBL_CalcDarwin[[#This Row],[Darwin Temp.
°C]],Curva_Temp[Temp]))</f>
        <v>5200</v>
      </c>
      <c r="S68" s="41" cm="1">
        <f t="array" ref="S68">INDEX(Curva_Temp[Temp],MATCH(TBL_CalcDarwin[[#This Row],[Darwin Temp.
°C]],Curva_Temp[Temp])+1)</f>
        <v>20</v>
      </c>
      <c r="T68" s="41" cm="1">
        <f t="array" ref="T68">INDEX(Curva_Temp[Warranted Power Curve for 
1.194Kg/m3 air density '[kW']
SG 5.0-145 (AM+1, 5.2MW) AT 
90M],MATCH(TBL_CalcDarwin[[#This Row],[Darwin Temp.
°C]],Curva_Temp[Temp])+1)</f>
        <v>5000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68" s="41">
        <f>INDEX(Curva_Temp[Temp],MATCH(TBL_CalcDarwin[[#This Row],[Darwin Temp.
°C]],Curva_Temp[Temp]))</f>
        <v>15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20</v>
      </c>
      <c r="AB68" s="41" cm="1">
        <f t="array" ref="AB68">INDEX(Curva_Temp[Warranted Power Curve for 
1.194Kg/m3 air density '[kW']
SG 5.0-145 (AM 0, 5.0MW) AT 
90M],MATCH(TBL_CalcDarwin[[#This Row],[Darwin Temp.
°C]],Curva_Temp[Temp])+1)</f>
        <v>5000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68" s="29">
        <f>TBL_CalcDarwin[[#This Row],[Expansión - Barra B - 5.2 - Cerro]]*TBL_CalcDarwin[[#This Row],[AEG 5.2 MW Cerro]]</f>
        <v>0.745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45446.791666666511</v>
      </c>
      <c r="C69" s="17">
        <f t="shared" si="5"/>
        <v>2.7916666666666652</v>
      </c>
      <c r="D69" s="34">
        <f>TBL_CalcDarwin[[#This Row],[Darwin PLOM
MW]]+TBL_CalcDarwin[[#This Row],[Darwin PLOME
MW]]</f>
        <v>82.430999999999997</v>
      </c>
      <c r="E69" s="34">
        <f>TBL_CalcDarwin[[#This Row],[PLOM MW TOTAL BARRA A]]+TBL_CalcDarwin[[#This Row],[PLOM MW TOTAL BARRA B]]</f>
        <v>79.674999999999997</v>
      </c>
      <c r="F69" s="34">
        <f>TBL_CalcDarwin[[#This Row],[PLOME MW TOTAL BARRA A]]+TBL_CalcDarwin[[#This Row],[PLOME MW TOTAL BARRA B]]</f>
        <v>2.7560000000000002</v>
      </c>
      <c r="G69" s="48">
        <f>'Plantilla Datos'!D74</f>
        <v>5.7</v>
      </c>
      <c r="H69" s="48">
        <f>'Plantilla Datos'!E74</f>
        <v>7.2</v>
      </c>
      <c r="I69" s="49">
        <f>'Plantilla Datos'!F74</f>
        <v>18.5</v>
      </c>
      <c r="J69" s="47">
        <f>CEILING('Plantilla Datos'!$L$3*TBL_CalcDarwin[[#This Row],[Darwin Gusts
m/s]],0.5)</f>
        <v>5.5</v>
      </c>
      <c r="K69" s="47">
        <f>CEILING('Plantilla Datos'!$L$4*TBL_CalcDarwin[[#This Row],[Darwin Gusts
m/s]],0.5)</f>
        <v>6.5</v>
      </c>
      <c r="L69" s="47">
        <f>CEILING(TBL_CalcDarwin[[#This Row],[Darwin Gusts
m/s]],0.5)</f>
        <v>7.5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69" s="41">
        <f>INDEX(Curva_Temp[Temp],MATCH(TBL_CalcDarwin[[#This Row],[Darwin Temp.
°C]],Curva_Temp[Temp]))</f>
        <v>15</v>
      </c>
      <c r="R69" s="41">
        <f>INDEX(Curva_Temp[Warranted Power Curve for 
1.194Kg/m3 air density '[kW']
SG 5.0-145 (AM+1, 5.2MW) AT 
90M],MATCH(TBL_CalcDarwin[[#This Row],[Darwin Temp.
°C]],Curva_Temp[Temp]))</f>
        <v>5200</v>
      </c>
      <c r="S69" s="41" cm="1">
        <f t="array" ref="S69">INDEX(Curva_Temp[Temp],MATCH(TBL_CalcDarwin[[#This Row],[Darwin Temp.
°C]],Curva_Temp[Temp])+1)</f>
        <v>20</v>
      </c>
      <c r="T69" s="41" cm="1">
        <f t="array" ref="T69">INDEX(Curva_Temp[Warranted Power Curve for 
1.194Kg/m3 air density '[kW']
SG 5.0-145 (AM+1, 5.2MW) AT 
90M],MATCH(TBL_CalcDarwin[[#This Row],[Darwin Temp.
°C]],Curva_Temp[Temp])+1)</f>
        <v>5000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69" s="41">
        <f>INDEX(Curva_Temp[Temp],MATCH(TBL_CalcDarwin[[#This Row],[Darwin Temp.
°C]],Curva_Temp[Temp]))</f>
        <v>15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20</v>
      </c>
      <c r="AB69" s="41" cm="1">
        <f t="array" ref="AB69">INDEX(Curva_Temp[Warranted Power Curve for 
1.194Kg/m3 air density '[kW']
SG 5.0-145 (AM 0, 5.0MW) AT 
90M],MATCH(TBL_CalcDarwin[[#This Row],[Darwin Temp.
°C]],Curva_Temp[Temp])+1)</f>
        <v>5000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69" s="29">
        <f>TBL_CalcDarwin[[#This Row],[Expansión - Barra B - 5.2 - Cerro]]*TBL_CalcDarwin[[#This Row],[AEG 5.2 MW Cerro]]</f>
        <v>0.745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45446.833333333176</v>
      </c>
      <c r="C70" s="17">
        <f t="shared" si="5"/>
        <v>2.8333333333333317</v>
      </c>
      <c r="D70" s="34">
        <f>TBL_CalcDarwin[[#This Row],[Darwin PLOM
MW]]+TBL_CalcDarwin[[#This Row],[Darwin PLOME
MW]]</f>
        <v>82.430999999999997</v>
      </c>
      <c r="E70" s="34">
        <f>TBL_CalcDarwin[[#This Row],[PLOM MW TOTAL BARRA A]]+TBL_CalcDarwin[[#This Row],[PLOM MW TOTAL BARRA B]]</f>
        <v>79.674999999999997</v>
      </c>
      <c r="F70" s="34">
        <f>TBL_CalcDarwin[[#This Row],[PLOME MW TOTAL BARRA A]]+TBL_CalcDarwin[[#This Row],[PLOME MW TOTAL BARRA B]]</f>
        <v>2.7560000000000002</v>
      </c>
      <c r="G70" s="48">
        <f>'Plantilla Datos'!D75</f>
        <v>5.7</v>
      </c>
      <c r="H70" s="48">
        <f>'Plantilla Datos'!E75</f>
        <v>7.2</v>
      </c>
      <c r="I70" s="49">
        <f>'Plantilla Datos'!F75</f>
        <v>18</v>
      </c>
      <c r="J70" s="47">
        <f>CEILING('Plantilla Datos'!$L$3*TBL_CalcDarwin[[#This Row],[Darwin Gusts
m/s]],0.5)</f>
        <v>5.5</v>
      </c>
      <c r="K70" s="47">
        <f>CEILING('Plantilla Datos'!$L$4*TBL_CalcDarwin[[#This Row],[Darwin Gusts
m/s]],0.5)</f>
        <v>6.5</v>
      </c>
      <c r="L70" s="47">
        <f>CEILING(TBL_CalcDarwin[[#This Row],[Darwin Gusts
m/s]],0.5)</f>
        <v>7.5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70" s="41">
        <f>INDEX(Curva_Temp[Temp],MATCH(TBL_CalcDarwin[[#This Row],[Darwin Temp.
°C]],Curva_Temp[Temp]))</f>
        <v>15</v>
      </c>
      <c r="R70" s="41">
        <f>INDEX(Curva_Temp[Warranted Power Curve for 
1.194Kg/m3 air density '[kW']
SG 5.0-145 (AM+1, 5.2MW) AT 
90M],MATCH(TBL_CalcDarwin[[#This Row],[Darwin Temp.
°C]],Curva_Temp[Temp]))</f>
        <v>5200</v>
      </c>
      <c r="S70" s="41" cm="1">
        <f t="array" ref="S70">INDEX(Curva_Temp[Temp],MATCH(TBL_CalcDarwin[[#This Row],[Darwin Temp.
°C]],Curva_Temp[Temp])+1)</f>
        <v>20</v>
      </c>
      <c r="T70" s="41" cm="1">
        <f t="array" ref="T70">INDEX(Curva_Temp[Warranted Power Curve for 
1.194Kg/m3 air density '[kW']
SG 5.0-145 (AM+1, 5.2MW) AT 
90M],MATCH(TBL_CalcDarwin[[#This Row],[Darwin Temp.
°C]],Curva_Temp[Temp])+1)</f>
        <v>5000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70" s="41">
        <f>INDEX(Curva_Temp[Temp],MATCH(TBL_CalcDarwin[[#This Row],[Darwin Temp.
°C]],Curva_Temp[Temp]))</f>
        <v>15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20</v>
      </c>
      <c r="AB70" s="41" cm="1">
        <f t="array" ref="AB70">INDEX(Curva_Temp[Warranted Power Curve for 
1.194Kg/m3 air density '[kW']
SG 5.0-145 (AM 0, 5.0MW) AT 
90M],MATCH(TBL_CalcDarwin[[#This Row],[Darwin Temp.
°C]],Curva_Temp[Temp])+1)</f>
        <v>5000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70" s="29">
        <f>TBL_CalcDarwin[[#This Row],[Expansión - Barra B - 5.2 - Cerro]]*TBL_CalcDarwin[[#This Row],[AEG 5.2 MW Cerro]]</f>
        <v>0.745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45446.87499999984</v>
      </c>
      <c r="C71" s="17">
        <f>C70+TIME(1,0,0)</f>
        <v>2.8749999999999982</v>
      </c>
      <c r="D71" s="34">
        <f>TBL_CalcDarwin[[#This Row],[Darwin PLOM
MW]]+TBL_CalcDarwin[[#This Row],[Darwin PLOME
MW]]</f>
        <v>82.430999999999997</v>
      </c>
      <c r="E71" s="34">
        <f>TBL_CalcDarwin[[#This Row],[PLOM MW TOTAL BARRA A]]+TBL_CalcDarwin[[#This Row],[PLOM MW TOTAL BARRA B]]</f>
        <v>79.674999999999997</v>
      </c>
      <c r="F71" s="34">
        <f>TBL_CalcDarwin[[#This Row],[PLOME MW TOTAL BARRA A]]+TBL_CalcDarwin[[#This Row],[PLOME MW TOTAL BARRA B]]</f>
        <v>2.7560000000000002</v>
      </c>
      <c r="G71" s="48">
        <f>'Plantilla Datos'!D76</f>
        <v>5.7</v>
      </c>
      <c r="H71" s="48">
        <f>'Plantilla Datos'!E76</f>
        <v>7.3</v>
      </c>
      <c r="I71" s="49">
        <f>'Plantilla Datos'!F76</f>
        <v>17.600000000000001</v>
      </c>
      <c r="J71" s="47">
        <f>CEILING('Plantilla Datos'!$L$3*TBL_CalcDarwin[[#This Row],[Darwin Gusts
m/s]],0.5)</f>
        <v>5.5</v>
      </c>
      <c r="K71" s="47">
        <f>CEILING('Plantilla Datos'!$L$4*TBL_CalcDarwin[[#This Row],[Darwin Gusts
m/s]],0.5)</f>
        <v>6.5</v>
      </c>
      <c r="L71" s="47">
        <f>CEILING(TBL_CalcDarwin[[#This Row],[Darwin Gusts
m/s]],0.5)</f>
        <v>7.5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71" s="41">
        <f>INDEX(Curva_Temp[Temp],MATCH(TBL_CalcDarwin[[#This Row],[Darwin Temp.
°C]],Curva_Temp[Temp]))</f>
        <v>15</v>
      </c>
      <c r="R71" s="41">
        <f>INDEX(Curva_Temp[Warranted Power Curve for 
1.194Kg/m3 air density '[kW']
SG 5.0-145 (AM+1, 5.2MW) AT 
90M],MATCH(TBL_CalcDarwin[[#This Row],[Darwin Temp.
°C]],Curva_Temp[Temp]))</f>
        <v>5200</v>
      </c>
      <c r="S71" s="41" cm="1">
        <f t="array" ref="S71">INDEX(Curva_Temp[Temp],MATCH(TBL_CalcDarwin[[#This Row],[Darwin Temp.
°C]],Curva_Temp[Temp])+1)</f>
        <v>20</v>
      </c>
      <c r="T71" s="41" cm="1">
        <f t="array" ref="T71">INDEX(Curva_Temp[Warranted Power Curve for 
1.194Kg/m3 air density '[kW']
SG 5.0-145 (AM+1, 5.2MW) AT 
90M],MATCH(TBL_CalcDarwin[[#This Row],[Darwin Temp.
°C]],Curva_Temp[Temp])+1)</f>
        <v>5000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71" s="41">
        <f>INDEX(Curva_Temp[Temp],MATCH(TBL_CalcDarwin[[#This Row],[Darwin Temp.
°C]],Curva_Temp[Temp]))</f>
        <v>15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20</v>
      </c>
      <c r="AB71" s="41" cm="1">
        <f t="array" ref="AB71">INDEX(Curva_Temp[Warranted Power Curve for 
1.194Kg/m3 air density '[kW']
SG 5.0-145 (AM 0, 5.0MW) AT 
90M],MATCH(TBL_CalcDarwin[[#This Row],[Darwin Temp.
°C]],Curva_Temp[Temp])+1)</f>
        <v>5000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71" s="29">
        <f>TBL_CalcDarwin[[#This Row],[Expansión - Barra B - 5.2 - Cerro]]*TBL_CalcDarwin[[#This Row],[AEG 5.2 MW Cerro]]</f>
        <v>0.745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45446.916666666504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82.430999999999997</v>
      </c>
      <c r="E72" s="34">
        <f>TBL_CalcDarwin[[#This Row],[PLOM MW TOTAL BARRA A]]+TBL_CalcDarwin[[#This Row],[PLOM MW TOTAL BARRA B]]</f>
        <v>79.674999999999997</v>
      </c>
      <c r="F72" s="34">
        <f>TBL_CalcDarwin[[#This Row],[PLOME MW TOTAL BARRA A]]+TBL_CalcDarwin[[#This Row],[PLOME MW TOTAL BARRA B]]</f>
        <v>2.7560000000000002</v>
      </c>
      <c r="G72" s="48">
        <f>'Plantilla Datos'!D77</f>
        <v>5.7</v>
      </c>
      <c r="H72" s="48">
        <f>'Plantilla Datos'!E77</f>
        <v>7.3</v>
      </c>
      <c r="I72" s="49">
        <f>'Plantilla Datos'!F77</f>
        <v>17.2</v>
      </c>
      <c r="J72" s="47">
        <f>CEILING('Plantilla Datos'!$L$3*TBL_CalcDarwin[[#This Row],[Darwin Gusts
m/s]],0.5)</f>
        <v>5.5</v>
      </c>
      <c r="K72" s="47">
        <f>CEILING('Plantilla Datos'!$L$4*TBL_CalcDarwin[[#This Row],[Darwin Gusts
m/s]],0.5)</f>
        <v>6.5</v>
      </c>
      <c r="L72" s="47">
        <f>CEILING(TBL_CalcDarwin[[#This Row],[Darwin Gusts
m/s]],0.5)</f>
        <v>7.5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72" s="41">
        <f>INDEX(Curva_Temp[Temp],MATCH(TBL_CalcDarwin[[#This Row],[Darwin Temp.
°C]],Curva_Temp[Temp]))</f>
        <v>15</v>
      </c>
      <c r="R72" s="41">
        <f>INDEX(Curva_Temp[Warranted Power Curve for 
1.194Kg/m3 air density '[kW']
SG 5.0-145 (AM+1, 5.2MW) AT 
90M],MATCH(TBL_CalcDarwin[[#This Row],[Darwin Temp.
°C]],Curva_Temp[Temp]))</f>
        <v>5200</v>
      </c>
      <c r="S72" s="41" cm="1">
        <f t="array" ref="S72">INDEX(Curva_Temp[Temp],MATCH(TBL_CalcDarwin[[#This Row],[Darwin Temp.
°C]],Curva_Temp[Temp])+1)</f>
        <v>20</v>
      </c>
      <c r="T72" s="41" cm="1">
        <f t="array" ref="T72">INDEX(Curva_Temp[Warranted Power Curve for 
1.194Kg/m3 air density '[kW']
SG 5.0-145 (AM+1, 5.2MW) AT 
90M],MATCH(TBL_CalcDarwin[[#This Row],[Darwin Temp.
°C]],Curva_Temp[Temp])+1)</f>
        <v>5000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72" s="41">
        <f>INDEX(Curva_Temp[Temp],MATCH(TBL_CalcDarwin[[#This Row],[Darwin Temp.
°C]],Curva_Temp[Temp]))</f>
        <v>15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20</v>
      </c>
      <c r="AB72" s="41" cm="1">
        <f t="array" ref="AB72">INDEX(Curva_Temp[Warranted Power Curve for 
1.194Kg/m3 air density '[kW']
SG 5.0-145 (AM 0, 5.0MW) AT 
90M],MATCH(TBL_CalcDarwin[[#This Row],[Darwin Temp.
°C]],Curva_Temp[Temp])+1)</f>
        <v>5000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72" s="29">
        <f>TBL_CalcDarwin[[#This Row],[Expansión - Barra B - 5.2 - Cerro]]*TBL_CalcDarwin[[#This Row],[AEG 5.2 MW Cerro]]</f>
        <v>0.745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45446.958333333168</v>
      </c>
      <c r="C73" s="17">
        <f t="shared" si="7"/>
        <v>2.9583333333333313</v>
      </c>
      <c r="D73" s="34">
        <f>TBL_CalcDarwin[[#This Row],[Darwin PLOM
MW]]+TBL_CalcDarwin[[#This Row],[Darwin PLOME
MW]]</f>
        <v>82.430999999999997</v>
      </c>
      <c r="E73" s="34">
        <f>TBL_CalcDarwin[[#This Row],[PLOM MW TOTAL BARRA A]]+TBL_CalcDarwin[[#This Row],[PLOM MW TOTAL BARRA B]]</f>
        <v>79.674999999999997</v>
      </c>
      <c r="F73" s="34">
        <f>TBL_CalcDarwin[[#This Row],[PLOME MW TOTAL BARRA A]]+TBL_CalcDarwin[[#This Row],[PLOME MW TOTAL BARRA B]]</f>
        <v>2.7560000000000002</v>
      </c>
      <c r="G73" s="48">
        <f>'Plantilla Datos'!D78</f>
        <v>5.5</v>
      </c>
      <c r="H73" s="48">
        <f>'Plantilla Datos'!E78</f>
        <v>7.1</v>
      </c>
      <c r="I73" s="49">
        <f>'Plantilla Datos'!F78</f>
        <v>17.2</v>
      </c>
      <c r="J73" s="47">
        <f>CEILING('Plantilla Datos'!$L$3*TBL_CalcDarwin[[#This Row],[Darwin Gusts
m/s]],0.5)</f>
        <v>5.5</v>
      </c>
      <c r="K73" s="47">
        <f>CEILING('Plantilla Datos'!$L$4*TBL_CalcDarwin[[#This Row],[Darwin Gusts
m/s]],0.5)</f>
        <v>6.5</v>
      </c>
      <c r="L73" s="47">
        <f>CEILING(TBL_CalcDarwin[[#This Row],[Darwin Gusts
m/s]],0.5)</f>
        <v>7.5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73" s="41">
        <f>INDEX(Curva_Temp[Temp],MATCH(TBL_CalcDarwin[[#This Row],[Darwin Temp.
°C]],Curva_Temp[Temp]))</f>
        <v>15</v>
      </c>
      <c r="R73" s="41">
        <f>INDEX(Curva_Temp[Warranted Power Curve for 
1.194Kg/m3 air density '[kW']
SG 5.0-145 (AM+1, 5.2MW) AT 
90M],MATCH(TBL_CalcDarwin[[#This Row],[Darwin Temp.
°C]],Curva_Temp[Temp]))</f>
        <v>5200</v>
      </c>
      <c r="S73" s="41" cm="1">
        <f t="array" ref="S73">INDEX(Curva_Temp[Temp],MATCH(TBL_CalcDarwin[[#This Row],[Darwin Temp.
°C]],Curva_Temp[Temp])+1)</f>
        <v>20</v>
      </c>
      <c r="T73" s="41" cm="1">
        <f t="array" ref="T73">INDEX(Curva_Temp[Warranted Power Curve for 
1.194Kg/m3 air density '[kW']
SG 5.0-145 (AM+1, 5.2MW) AT 
90M],MATCH(TBL_CalcDarwin[[#This Row],[Darwin Temp.
°C]],Curva_Temp[Temp])+1)</f>
        <v>5000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73" s="41">
        <f>INDEX(Curva_Temp[Temp],MATCH(TBL_CalcDarwin[[#This Row],[Darwin Temp.
°C]],Curva_Temp[Temp]))</f>
        <v>15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20</v>
      </c>
      <c r="AB73" s="41" cm="1">
        <f t="array" ref="AB73">INDEX(Curva_Temp[Warranted Power Curve for 
1.194Kg/m3 air density '[kW']
SG 5.0-145 (AM 0, 5.0MW) AT 
90M],MATCH(TBL_CalcDarwin[[#This Row],[Darwin Temp.
°C]],Curva_Temp[Temp])+1)</f>
        <v>5000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73" s="29">
        <f>TBL_CalcDarwin[[#This Row],[Expansión - Barra B - 5.2 - Cerro]]*TBL_CalcDarwin[[#This Row],[AEG 5.2 MW Cerro]]</f>
        <v>0.745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45446.999999999833</v>
      </c>
      <c r="C74" s="17">
        <f t="shared" si="7"/>
        <v>2.9999999999999978</v>
      </c>
      <c r="D74" s="34">
        <f>TBL_CalcDarwin[[#This Row],[Darwin PLOM
MW]]+TBL_CalcDarwin[[#This Row],[Darwin PLOME
MW]]</f>
        <v>63.076999999999998</v>
      </c>
      <c r="E74" s="34">
        <f>TBL_CalcDarwin[[#This Row],[PLOM MW TOTAL BARRA A]]+TBL_CalcDarwin[[#This Row],[PLOM MW TOTAL BARRA B]]</f>
        <v>61</v>
      </c>
      <c r="F74" s="34">
        <f>TBL_CalcDarwin[[#This Row],[PLOME MW TOTAL BARRA A]]+TBL_CalcDarwin[[#This Row],[PLOME MW TOTAL BARRA B]]</f>
        <v>2.077</v>
      </c>
      <c r="G74" s="48">
        <f>'Plantilla Datos'!D79</f>
        <v>5.3</v>
      </c>
      <c r="H74" s="48">
        <f>'Plantilla Datos'!E79</f>
        <v>6.8</v>
      </c>
      <c r="I74" s="49">
        <f>'Plantilla Datos'!F79</f>
        <v>17.2</v>
      </c>
      <c r="J74" s="47">
        <f>CEILING('Plantilla Datos'!$L$3*TBL_CalcDarwin[[#This Row],[Darwin Gusts
m/s]],0.5)</f>
        <v>5</v>
      </c>
      <c r="K74" s="47">
        <f>CEILING('Plantilla Datos'!$L$4*TBL_CalcDarwin[[#This Row],[Darwin Gusts
m/s]],0.5)</f>
        <v>6</v>
      </c>
      <c r="L74" s="47">
        <f>CEILING(TBL_CalcDarwin[[#This Row],[Darwin Gusts
m/s]],0.5)</f>
        <v>7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74" s="41">
        <f>INDEX(Curva_Temp[Temp],MATCH(TBL_CalcDarwin[[#This Row],[Darwin Temp.
°C]],Curva_Temp[Temp]))</f>
        <v>15</v>
      </c>
      <c r="R74" s="41">
        <f>INDEX(Curva_Temp[Warranted Power Curve for 
1.194Kg/m3 air density '[kW']
SG 5.0-145 (AM+1, 5.2MW) AT 
90M],MATCH(TBL_CalcDarwin[[#This Row],[Darwin Temp.
°C]],Curva_Temp[Temp]))</f>
        <v>5200</v>
      </c>
      <c r="S74" s="41" cm="1">
        <f t="array" ref="S74">INDEX(Curva_Temp[Temp],MATCH(TBL_CalcDarwin[[#This Row],[Darwin Temp.
°C]],Curva_Temp[Temp])+1)</f>
        <v>20</v>
      </c>
      <c r="T74" s="41" cm="1">
        <f t="array" ref="T74">INDEX(Curva_Temp[Warranted Power Curve for 
1.194Kg/m3 air density '[kW']
SG 5.0-145 (AM+1, 5.2MW) AT 
90M],MATCH(TBL_CalcDarwin[[#This Row],[Darwin Temp.
°C]],Curva_Temp[Temp])+1)</f>
        <v>5000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74" s="41">
        <f>INDEX(Curva_Temp[Temp],MATCH(TBL_CalcDarwin[[#This Row],[Darwin Temp.
°C]],Curva_Temp[Temp]))</f>
        <v>15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20</v>
      </c>
      <c r="AB74" s="41" cm="1">
        <f t="array" ref="AB74">INDEX(Curva_Temp[Warranted Power Curve for 
1.194Kg/m3 air density '[kW']
SG 5.0-145 (AM 0, 5.0MW) AT 
90M],MATCH(TBL_CalcDarwin[[#This Row],[Darwin Temp.
°C]],Curva_Temp[Temp])+1)</f>
        <v>5000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74" s="29">
        <f>TBL_CalcDarwin[[#This Row],[Expansión - Barra B - 5.2 - Cerro]]*TBL_CalcDarwin[[#This Row],[AEG 5.2 MW Cerro]]</f>
        <v>0.54700000000000004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45447.041666666497</v>
      </c>
      <c r="C75" s="17">
        <f t="shared" si="7"/>
        <v>3.0416666666666643</v>
      </c>
      <c r="D75" s="34">
        <f>TBL_CalcDarwin[[#This Row],[Darwin PLOM
MW]]+TBL_CalcDarwin[[#This Row],[Darwin PLOME
MW]]</f>
        <v>63.076999999999998</v>
      </c>
      <c r="E75" s="34">
        <f>TBL_CalcDarwin[[#This Row],[PLOM MW TOTAL BARRA A]]+TBL_CalcDarwin[[#This Row],[PLOM MW TOTAL BARRA B]]</f>
        <v>61</v>
      </c>
      <c r="F75" s="34">
        <f>TBL_CalcDarwin[[#This Row],[PLOME MW TOTAL BARRA A]]+TBL_CalcDarwin[[#This Row],[PLOME MW TOTAL BARRA B]]</f>
        <v>2.077</v>
      </c>
      <c r="G75" s="48">
        <f>'Plantilla Datos'!D80</f>
        <v>5.0999999999999996</v>
      </c>
      <c r="H75" s="48">
        <f>'Plantilla Datos'!E80</f>
        <v>6.6</v>
      </c>
      <c r="I75" s="49">
        <f>'Plantilla Datos'!F80</f>
        <v>17.100000000000001</v>
      </c>
      <c r="J75" s="47">
        <f>CEILING('Plantilla Datos'!$L$3*TBL_CalcDarwin[[#This Row],[Darwin Gusts
m/s]],0.5)</f>
        <v>5</v>
      </c>
      <c r="K75" s="47">
        <f>CEILING('Plantilla Datos'!$L$4*TBL_CalcDarwin[[#This Row],[Darwin Gusts
m/s]],0.5)</f>
        <v>6</v>
      </c>
      <c r="L75" s="47">
        <f>CEILING(TBL_CalcDarwin[[#This Row],[Darwin Gusts
m/s]],0.5)</f>
        <v>7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75" s="41">
        <f>INDEX(Curva_Temp[Temp],MATCH(TBL_CalcDarwin[[#This Row],[Darwin Temp.
°C]],Curva_Temp[Temp]))</f>
        <v>15</v>
      </c>
      <c r="R75" s="41">
        <f>INDEX(Curva_Temp[Warranted Power Curve for 
1.194Kg/m3 air density '[kW']
SG 5.0-145 (AM+1, 5.2MW) AT 
90M],MATCH(TBL_CalcDarwin[[#This Row],[Darwin Temp.
°C]],Curva_Temp[Temp]))</f>
        <v>5200</v>
      </c>
      <c r="S75" s="41" cm="1">
        <f t="array" ref="S75">INDEX(Curva_Temp[Temp],MATCH(TBL_CalcDarwin[[#This Row],[Darwin Temp.
°C]],Curva_Temp[Temp])+1)</f>
        <v>20</v>
      </c>
      <c r="T75" s="41" cm="1">
        <f t="array" ref="T75">INDEX(Curva_Temp[Warranted Power Curve for 
1.194Kg/m3 air density '[kW']
SG 5.0-145 (AM+1, 5.2MW) AT 
90M],MATCH(TBL_CalcDarwin[[#This Row],[Darwin Temp.
°C]],Curva_Temp[Temp])+1)</f>
        <v>5000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75" s="41">
        <f>INDEX(Curva_Temp[Temp],MATCH(TBL_CalcDarwin[[#This Row],[Darwin Temp.
°C]],Curva_Temp[Temp]))</f>
        <v>15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20</v>
      </c>
      <c r="AB75" s="41" cm="1">
        <f t="array" ref="AB75">INDEX(Curva_Temp[Warranted Power Curve for 
1.194Kg/m3 air density '[kW']
SG 5.0-145 (AM 0, 5.0MW) AT 
90M],MATCH(TBL_CalcDarwin[[#This Row],[Darwin Temp.
°C]],Curva_Temp[Temp])+1)</f>
        <v>5000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75" s="29">
        <f>TBL_CalcDarwin[[#This Row],[Expansión - Barra B - 5.2 - Cerro]]*TBL_CalcDarwin[[#This Row],[AEG 5.2 MW Cerro]]</f>
        <v>0.54700000000000004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45447.083333333161</v>
      </c>
      <c r="C76" s="17">
        <f t="shared" si="7"/>
        <v>3.0833333333333308</v>
      </c>
      <c r="D76" s="34">
        <f>TBL_CalcDarwin[[#This Row],[Darwin PLOM
MW]]+TBL_CalcDarwin[[#This Row],[Darwin PLOME
MW]]</f>
        <v>49.213000000000001</v>
      </c>
      <c r="E76" s="34">
        <f>TBL_CalcDarwin[[#This Row],[PLOM MW TOTAL BARRA A]]+TBL_CalcDarwin[[#This Row],[PLOM MW TOTAL BARRA B]]</f>
        <v>47.704000000000001</v>
      </c>
      <c r="F76" s="34">
        <f>TBL_CalcDarwin[[#This Row],[PLOME MW TOTAL BARRA A]]+TBL_CalcDarwin[[#This Row],[PLOME MW TOTAL BARRA B]]</f>
        <v>1.5089999999999999</v>
      </c>
      <c r="G76" s="48">
        <f>'Plantilla Datos'!D81</f>
        <v>4.8</v>
      </c>
      <c r="H76" s="48">
        <f>'Plantilla Datos'!E81</f>
        <v>6.2</v>
      </c>
      <c r="I76" s="49">
        <f>'Plantilla Datos'!F81</f>
        <v>16.899999999999999</v>
      </c>
      <c r="J76" s="47">
        <f>CEILING('Plantilla Datos'!$L$3*TBL_CalcDarwin[[#This Row],[Darwin Gusts
m/s]],0.5)</f>
        <v>4.5</v>
      </c>
      <c r="K76" s="47">
        <f>CEILING('Plantilla Datos'!$L$4*TBL_CalcDarwin[[#This Row],[Darwin Gusts
m/s]],0.5)</f>
        <v>5.5</v>
      </c>
      <c r="L76" s="47">
        <f>CEILING(TBL_CalcDarwin[[#This Row],[Darwin Gusts
m/s]],0.5)</f>
        <v>6.5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76" s="41">
        <f>INDEX(Curva_Temp[Temp],MATCH(TBL_CalcDarwin[[#This Row],[Darwin Temp.
°C]],Curva_Temp[Temp]))</f>
        <v>15</v>
      </c>
      <c r="R76" s="41">
        <f>INDEX(Curva_Temp[Warranted Power Curve for 
1.194Kg/m3 air density '[kW']
SG 5.0-145 (AM+1, 5.2MW) AT 
90M],MATCH(TBL_CalcDarwin[[#This Row],[Darwin Temp.
°C]],Curva_Temp[Temp]))</f>
        <v>5200</v>
      </c>
      <c r="S76" s="41" cm="1">
        <f t="array" ref="S76">INDEX(Curva_Temp[Temp],MATCH(TBL_CalcDarwin[[#This Row],[Darwin Temp.
°C]],Curva_Temp[Temp])+1)</f>
        <v>20</v>
      </c>
      <c r="T76" s="41" cm="1">
        <f t="array" ref="T76">INDEX(Curva_Temp[Warranted Power Curve for 
1.194Kg/m3 air density '[kW']
SG 5.0-145 (AM+1, 5.2MW) AT 
90M],MATCH(TBL_CalcDarwin[[#This Row],[Darwin Temp.
°C]],Curva_Temp[Temp])+1)</f>
        <v>5000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76" s="41">
        <f>INDEX(Curva_Temp[Temp],MATCH(TBL_CalcDarwin[[#This Row],[Darwin Temp.
°C]],Curva_Temp[Temp]))</f>
        <v>15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20</v>
      </c>
      <c r="AB76" s="41" cm="1">
        <f t="array" ref="AB76">INDEX(Curva_Temp[Warranted Power Curve for 
1.194Kg/m3 air density '[kW']
SG 5.0-145 (AM 0, 5.0MW) AT 
90M],MATCH(TBL_CalcDarwin[[#This Row],[Darwin Temp.
°C]],Curva_Temp[Temp])+1)</f>
        <v>5000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76" s="29">
        <f>TBL_CalcDarwin[[#This Row],[Expansión - Barra B - 5.2 - Cerro]]*TBL_CalcDarwin[[#This Row],[AEG 5.2 MW Cerro]]</f>
        <v>0.38200000000000001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45447.124999999825</v>
      </c>
      <c r="C77" s="17">
        <f>C76+TIME(1,0,0)</f>
        <v>3.1249999999999973</v>
      </c>
      <c r="D77" s="34">
        <f>TBL_CalcDarwin[[#This Row],[Darwin PLOM
MW]]+TBL_CalcDarwin[[#This Row],[Darwin PLOME
MW]]</f>
        <v>38.544999999999995</v>
      </c>
      <c r="E77" s="34">
        <f>TBL_CalcDarwin[[#This Row],[PLOM MW TOTAL BARRA A]]+TBL_CalcDarwin[[#This Row],[PLOM MW TOTAL BARRA B]]</f>
        <v>37.233999999999995</v>
      </c>
      <c r="F77" s="34">
        <f>TBL_CalcDarwin[[#This Row],[PLOME MW TOTAL BARRA A]]+TBL_CalcDarwin[[#This Row],[PLOME MW TOTAL BARRA B]]</f>
        <v>1.3109999999999999</v>
      </c>
      <c r="G77" s="48">
        <f>'Plantilla Datos'!D82</f>
        <v>4.5</v>
      </c>
      <c r="H77" s="48">
        <f>'Plantilla Datos'!E82</f>
        <v>5.8</v>
      </c>
      <c r="I77" s="49">
        <f>'Plantilla Datos'!F82</f>
        <v>16.600000000000001</v>
      </c>
      <c r="J77" s="47">
        <f>CEILING('Plantilla Datos'!$L$3*TBL_CalcDarwin[[#This Row],[Darwin Gusts
m/s]],0.5)</f>
        <v>4.5</v>
      </c>
      <c r="K77" s="47">
        <f>CEILING('Plantilla Datos'!$L$4*TBL_CalcDarwin[[#This Row],[Darwin Gusts
m/s]],0.5)</f>
        <v>5</v>
      </c>
      <c r="L77" s="47">
        <f>CEILING(TBL_CalcDarwin[[#This Row],[Darwin Gusts
m/s]],0.5)</f>
        <v>6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77" s="41">
        <f>INDEX(Curva_Temp[Temp],MATCH(TBL_CalcDarwin[[#This Row],[Darwin Temp.
°C]],Curva_Temp[Temp]))</f>
        <v>15</v>
      </c>
      <c r="R77" s="41">
        <f>INDEX(Curva_Temp[Warranted Power Curve for 
1.194Kg/m3 air density '[kW']
SG 5.0-145 (AM+1, 5.2MW) AT 
90M],MATCH(TBL_CalcDarwin[[#This Row],[Darwin Temp.
°C]],Curva_Temp[Temp]))</f>
        <v>5200</v>
      </c>
      <c r="S77" s="41" cm="1">
        <f t="array" ref="S77">INDEX(Curva_Temp[Temp],MATCH(TBL_CalcDarwin[[#This Row],[Darwin Temp.
°C]],Curva_Temp[Temp])+1)</f>
        <v>20</v>
      </c>
      <c r="T77" s="41" cm="1">
        <f t="array" ref="T77">INDEX(Curva_Temp[Warranted Power Curve for 
1.194Kg/m3 air density '[kW']
SG 5.0-145 (AM+1, 5.2MW) AT 
90M],MATCH(TBL_CalcDarwin[[#This Row],[Darwin Temp.
°C]],Curva_Temp[Temp])+1)</f>
        <v>5000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77" s="41">
        <f>INDEX(Curva_Temp[Temp],MATCH(TBL_CalcDarwin[[#This Row],[Darwin Temp.
°C]],Curva_Temp[Temp]))</f>
        <v>15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20</v>
      </c>
      <c r="AB77" s="41" cm="1">
        <f t="array" ref="AB77">INDEX(Curva_Temp[Warranted Power Curve for 
1.194Kg/m3 air density '[kW']
SG 5.0-145 (AM 0, 5.0MW) AT 
90M],MATCH(TBL_CalcDarwin[[#This Row],[Darwin Temp.
°C]],Curva_Temp[Temp])+1)</f>
        <v>5000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77" s="29">
        <f>TBL_CalcDarwin[[#This Row],[Expansión - Barra B - 5.2 - Cerro]]*TBL_CalcDarwin[[#This Row],[AEG 5.2 MW Cerro]]</f>
        <v>0.38200000000000001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45447.16666666649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30.28</v>
      </c>
      <c r="E78" s="34">
        <f>TBL_CalcDarwin[[#This Row],[PLOM MW TOTAL BARRA A]]+TBL_CalcDarwin[[#This Row],[PLOM MW TOTAL BARRA B]]</f>
        <v>29.245000000000001</v>
      </c>
      <c r="F78" s="34">
        <f>TBL_CalcDarwin[[#This Row],[PLOME MW TOTAL BARRA A]]+TBL_CalcDarwin[[#This Row],[PLOME MW TOTAL BARRA B]]</f>
        <v>1.0350000000000001</v>
      </c>
      <c r="G78" s="48">
        <f>'Plantilla Datos'!D83</f>
        <v>4.0999999999999996</v>
      </c>
      <c r="H78" s="48">
        <f>'Plantilla Datos'!E83</f>
        <v>5.3</v>
      </c>
      <c r="I78" s="49">
        <f>'Plantilla Datos'!F83</f>
        <v>16.3</v>
      </c>
      <c r="J78" s="47">
        <f>CEILING('Plantilla Datos'!$L$3*TBL_CalcDarwin[[#This Row],[Darwin Gusts
m/s]],0.5)</f>
        <v>4</v>
      </c>
      <c r="K78" s="47">
        <f>CEILING('Plantilla Datos'!$L$4*TBL_CalcDarwin[[#This Row],[Darwin Gusts
m/s]],0.5)</f>
        <v>5</v>
      </c>
      <c r="L78" s="47">
        <f>CEILING(TBL_CalcDarwin[[#This Row],[Darwin Gusts
m/s]],0.5)</f>
        <v>5.5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78" s="41">
        <f>INDEX(Curva_Temp[Temp],MATCH(TBL_CalcDarwin[[#This Row],[Darwin Temp.
°C]],Curva_Temp[Temp]))</f>
        <v>15</v>
      </c>
      <c r="R78" s="41">
        <f>INDEX(Curva_Temp[Warranted Power Curve for 
1.194Kg/m3 air density '[kW']
SG 5.0-145 (AM+1, 5.2MW) AT 
90M],MATCH(TBL_CalcDarwin[[#This Row],[Darwin Temp.
°C]],Curva_Temp[Temp]))</f>
        <v>5200</v>
      </c>
      <c r="S78" s="41" cm="1">
        <f t="array" ref="S78">INDEX(Curva_Temp[Temp],MATCH(TBL_CalcDarwin[[#This Row],[Darwin Temp.
°C]],Curva_Temp[Temp])+1)</f>
        <v>20</v>
      </c>
      <c r="T78" s="41" cm="1">
        <f t="array" ref="T78">INDEX(Curva_Temp[Warranted Power Curve for 
1.194Kg/m3 air density '[kW']
SG 5.0-145 (AM+1, 5.2MW) AT 
90M],MATCH(TBL_CalcDarwin[[#This Row],[Darwin Temp.
°C]],Curva_Temp[Temp])+1)</f>
        <v>5000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78" s="41">
        <f>INDEX(Curva_Temp[Temp],MATCH(TBL_CalcDarwin[[#This Row],[Darwin Temp.
°C]],Curva_Temp[Temp]))</f>
        <v>15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20</v>
      </c>
      <c r="AB78" s="41" cm="1">
        <f t="array" ref="AB78">INDEX(Curva_Temp[Warranted Power Curve for 
1.194Kg/m3 air density '[kW']
SG 5.0-145 (AM 0, 5.0MW) AT 
90M],MATCH(TBL_CalcDarwin[[#This Row],[Darwin Temp.
°C]],Curva_Temp[Temp])+1)</f>
        <v>5000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78" s="29">
        <f>TBL_CalcDarwin[[#This Row],[Expansión - Barra B - 5.2 - Cerro]]*TBL_CalcDarwin[[#This Row],[AEG 5.2 MW Cerro]]</f>
        <v>0.24399999999999999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45447.208333333154</v>
      </c>
      <c r="C79" s="17">
        <f t="shared" si="8"/>
        <v>3.2083333333333304</v>
      </c>
      <c r="D79" s="34">
        <f>TBL_CalcDarwin[[#This Row],[Darwin PLOM
MW]]+TBL_CalcDarwin[[#This Row],[Darwin PLOME
MW]]</f>
        <v>15.102</v>
      </c>
      <c r="E79" s="34">
        <f>TBL_CalcDarwin[[#This Row],[PLOM MW TOTAL BARRA A]]+TBL_CalcDarwin[[#This Row],[PLOM MW TOTAL BARRA B]]</f>
        <v>14.598000000000001</v>
      </c>
      <c r="F79" s="34">
        <f>TBL_CalcDarwin[[#This Row],[PLOME MW TOTAL BARRA A]]+TBL_CalcDarwin[[#This Row],[PLOME MW TOTAL BARRA B]]</f>
        <v>0.504</v>
      </c>
      <c r="G79" s="48">
        <f>'Plantilla Datos'!D84</f>
        <v>3.2</v>
      </c>
      <c r="H79" s="48">
        <f>'Plantilla Datos'!E84</f>
        <v>4.2</v>
      </c>
      <c r="I79" s="49">
        <f>'Plantilla Datos'!F84</f>
        <v>16.399999999999999</v>
      </c>
      <c r="J79" s="47">
        <f>CEILING('Plantilla Datos'!$L$3*TBL_CalcDarwin[[#This Row],[Darwin Gusts
m/s]],0.5)</f>
        <v>3.5</v>
      </c>
      <c r="K79" s="47">
        <f>CEILING('Plantilla Datos'!$L$4*TBL_CalcDarwin[[#This Row],[Darwin Gusts
m/s]],0.5)</f>
        <v>4</v>
      </c>
      <c r="L79" s="47">
        <f>CEILING(TBL_CalcDarwin[[#This Row],[Darwin Gusts
m/s]],0.5)</f>
        <v>4.5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79" s="41">
        <f>INDEX(Curva_Temp[Temp],MATCH(TBL_CalcDarwin[[#This Row],[Darwin Temp.
°C]],Curva_Temp[Temp]))</f>
        <v>15</v>
      </c>
      <c r="R79" s="41">
        <f>INDEX(Curva_Temp[Warranted Power Curve for 
1.194Kg/m3 air density '[kW']
SG 5.0-145 (AM+1, 5.2MW) AT 
90M],MATCH(TBL_CalcDarwin[[#This Row],[Darwin Temp.
°C]],Curva_Temp[Temp]))</f>
        <v>5200</v>
      </c>
      <c r="S79" s="41" cm="1">
        <f t="array" ref="S79">INDEX(Curva_Temp[Temp],MATCH(TBL_CalcDarwin[[#This Row],[Darwin Temp.
°C]],Curva_Temp[Temp])+1)</f>
        <v>20</v>
      </c>
      <c r="T79" s="41" cm="1">
        <f t="array" ref="T79">INDEX(Curva_Temp[Warranted Power Curve for 
1.194Kg/m3 air density '[kW']
SG 5.0-145 (AM+1, 5.2MW) AT 
90M],MATCH(TBL_CalcDarwin[[#This Row],[Darwin Temp.
°C]],Curva_Temp[Temp])+1)</f>
        <v>5000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79" s="41">
        <f>INDEX(Curva_Temp[Temp],MATCH(TBL_CalcDarwin[[#This Row],[Darwin Temp.
°C]],Curva_Temp[Temp]))</f>
        <v>15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20</v>
      </c>
      <c r="AB79" s="41" cm="1">
        <f t="array" ref="AB79">INDEX(Curva_Temp[Warranted Power Curve for 
1.194Kg/m3 air density '[kW']
SG 5.0-145 (AM 0, 5.0MW) AT 
90M],MATCH(TBL_CalcDarwin[[#This Row],[Darwin Temp.
°C]],Curva_Temp[Temp])+1)</f>
        <v>5000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79" s="29">
        <f>TBL_CalcDarwin[[#This Row],[Expansión - Barra B - 5.2 - Cerro]]*TBL_CalcDarwin[[#This Row],[AEG 5.2 MW Cerro]]</f>
        <v>0.13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45447.249999999818</v>
      </c>
      <c r="C80" s="17">
        <f t="shared" si="8"/>
        <v>3.2499999999999969</v>
      </c>
      <c r="D80" s="34">
        <f>TBL_CalcDarwin[[#This Row],[Darwin PLOM
MW]]+TBL_CalcDarwin[[#This Row],[Darwin PLOME
MW]]</f>
        <v>4.47</v>
      </c>
      <c r="E80" s="34">
        <f>TBL_CalcDarwin[[#This Row],[PLOM MW TOTAL BARRA A]]+TBL_CalcDarwin[[#This Row],[PLOM MW TOTAL BARRA B]]</f>
        <v>4.415</v>
      </c>
      <c r="F80" s="34">
        <f>TBL_CalcDarwin[[#This Row],[PLOME MW TOTAL BARRA A]]+TBL_CalcDarwin[[#This Row],[PLOME MW TOTAL BARRA B]]</f>
        <v>5.5E-2</v>
      </c>
      <c r="G80" s="48">
        <f>'Plantilla Datos'!D85</f>
        <v>2.2000000000000002</v>
      </c>
      <c r="H80" s="48">
        <f>'Plantilla Datos'!E85</f>
        <v>3.4</v>
      </c>
      <c r="I80" s="49">
        <f>'Plantilla Datos'!F85</f>
        <v>16.8</v>
      </c>
      <c r="J80" s="47">
        <f>CEILING('Plantilla Datos'!$L$3*TBL_CalcDarwin[[#This Row],[Darwin Gusts
m/s]],0.5)</f>
        <v>2.5</v>
      </c>
      <c r="K80" s="47">
        <f>CEILING('Plantilla Datos'!$L$4*TBL_CalcDarwin[[#This Row],[Darwin Gusts
m/s]],0.5)</f>
        <v>3</v>
      </c>
      <c r="L80" s="47">
        <f>CEILING(TBL_CalcDarwin[[#This Row],[Darwin Gusts
m/s]],0.5)</f>
        <v>3.5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80" s="41">
        <f>INDEX(Curva_Temp[Temp],MATCH(TBL_CalcDarwin[[#This Row],[Darwin Temp.
°C]],Curva_Temp[Temp]))</f>
        <v>15</v>
      </c>
      <c r="R80" s="41">
        <f>INDEX(Curva_Temp[Warranted Power Curve for 
1.194Kg/m3 air density '[kW']
SG 5.0-145 (AM+1, 5.2MW) AT 
90M],MATCH(TBL_CalcDarwin[[#This Row],[Darwin Temp.
°C]],Curva_Temp[Temp]))</f>
        <v>5200</v>
      </c>
      <c r="S80" s="41" cm="1">
        <f t="array" ref="S80">INDEX(Curva_Temp[Temp],MATCH(TBL_CalcDarwin[[#This Row],[Darwin Temp.
°C]],Curva_Temp[Temp])+1)</f>
        <v>20</v>
      </c>
      <c r="T80" s="41" cm="1">
        <f t="array" ref="T80">INDEX(Curva_Temp[Warranted Power Curve for 
1.194Kg/m3 air density '[kW']
SG 5.0-145 (AM+1, 5.2MW) AT 
90M],MATCH(TBL_CalcDarwin[[#This Row],[Darwin Temp.
°C]],Curva_Temp[Temp])+1)</f>
        <v>5000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80" s="41">
        <f>INDEX(Curva_Temp[Temp],MATCH(TBL_CalcDarwin[[#This Row],[Darwin Temp.
°C]],Curva_Temp[Temp]))</f>
        <v>15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20</v>
      </c>
      <c r="AB80" s="41" cm="1">
        <f t="array" ref="AB80">INDEX(Curva_Temp[Warranted Power Curve for 
1.194Kg/m3 air density '[kW']
SG 5.0-145 (AM 0, 5.0MW) AT 
90M],MATCH(TBL_CalcDarwin[[#This Row],[Darwin Temp.
°C]],Curva_Temp[Temp])+1)</f>
        <v>5000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80" s="29">
        <f>TBL_CalcDarwin[[#This Row],[Expansión - Barra B - 5.2 - Cerro]]*TBL_CalcDarwin[[#This Row],[AEG 5.2 MW Cerro]]</f>
        <v>0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45447.291666666482</v>
      </c>
      <c r="C81" s="17">
        <f t="shared" si="8"/>
        <v>3.2916666666666634</v>
      </c>
      <c r="D81" s="34">
        <f>TBL_CalcDarwin[[#This Row],[Darwin PLOM
MW]]+TBL_CalcDarwin[[#This Row],[Darwin PLOME
MW]]</f>
        <v>1.6360000000000001</v>
      </c>
      <c r="E81" s="34">
        <f>TBL_CalcDarwin[[#This Row],[PLOM MW TOTAL BARRA A]]+TBL_CalcDarwin[[#This Row],[PLOM MW TOTAL BARRA B]]</f>
        <v>1.6360000000000001</v>
      </c>
      <c r="F81" s="34">
        <f>TBL_CalcDarwin[[#This Row],[PLOME MW TOTAL BARRA A]]+TBL_CalcDarwin[[#This Row],[PLOME MW TOTAL BARRA B]]</f>
        <v>0</v>
      </c>
      <c r="G81" s="48">
        <f>'Plantilla Datos'!D86</f>
        <v>1.3</v>
      </c>
      <c r="H81" s="48">
        <f>'Plantilla Datos'!E86</f>
        <v>2.7</v>
      </c>
      <c r="I81" s="49">
        <f>'Plantilla Datos'!F86</f>
        <v>17.3</v>
      </c>
      <c r="J81" s="47">
        <f>CEILING('Plantilla Datos'!$L$3*TBL_CalcDarwin[[#This Row],[Darwin Gusts
m/s]],0.5)</f>
        <v>2</v>
      </c>
      <c r="K81" s="47">
        <f>CEILING('Plantilla Datos'!$L$4*TBL_CalcDarwin[[#This Row],[Darwin Gusts
m/s]],0.5)</f>
        <v>2.5</v>
      </c>
      <c r="L81" s="47">
        <f>CEILING(TBL_CalcDarwin[[#This Row],[Darwin Gusts
m/s]],0.5)</f>
        <v>3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81" s="41">
        <f>INDEX(Curva_Temp[Temp],MATCH(TBL_CalcDarwin[[#This Row],[Darwin Temp.
°C]],Curva_Temp[Temp]))</f>
        <v>15</v>
      </c>
      <c r="R81" s="41">
        <f>INDEX(Curva_Temp[Warranted Power Curve for 
1.194Kg/m3 air density '[kW']
SG 5.0-145 (AM+1, 5.2MW) AT 
90M],MATCH(TBL_CalcDarwin[[#This Row],[Darwin Temp.
°C]],Curva_Temp[Temp]))</f>
        <v>5200</v>
      </c>
      <c r="S81" s="41" cm="1">
        <f t="array" ref="S81">INDEX(Curva_Temp[Temp],MATCH(TBL_CalcDarwin[[#This Row],[Darwin Temp.
°C]],Curva_Temp[Temp])+1)</f>
        <v>20</v>
      </c>
      <c r="T81" s="41" cm="1">
        <f t="array" ref="T81">INDEX(Curva_Temp[Warranted Power Curve for 
1.194Kg/m3 air density '[kW']
SG 5.0-145 (AM+1, 5.2MW) AT 
90M],MATCH(TBL_CalcDarwin[[#This Row],[Darwin Temp.
°C]],Curva_Temp[Temp])+1)</f>
        <v>5000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81" s="41">
        <f>INDEX(Curva_Temp[Temp],MATCH(TBL_CalcDarwin[[#This Row],[Darwin Temp.
°C]],Curva_Temp[Temp]))</f>
        <v>15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20</v>
      </c>
      <c r="AB81" s="41" cm="1">
        <f t="array" ref="AB81">INDEX(Curva_Temp[Warranted Power Curve for 
1.194Kg/m3 air density '[kW']
SG 5.0-145 (AM 0, 5.0MW) AT 
90M],MATCH(TBL_CalcDarwin[[#This Row],[Darwin Temp.
°C]],Curva_Temp[Temp])+1)</f>
        <v>5000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1" s="29">
        <f>TBL_CalcDarwin[[#This Row],[Expansión - Barra B - 5.2 - Cerro]]*TBL_CalcDarwin[[#This Row],[AEG 5.2 MW Cerro]]</f>
        <v>0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45447.333333333147</v>
      </c>
      <c r="C82" s="17">
        <f t="shared" si="8"/>
        <v>3.3333333333333299</v>
      </c>
      <c r="D82" s="34">
        <f>TBL_CalcDarwin[[#This Row],[Darwin PLOM
MW]]+TBL_CalcDarwin[[#This Row],[Darwin PLOME
MW]]</f>
        <v>0</v>
      </c>
      <c r="E82" s="34">
        <f>TBL_CalcDarwin[[#This Row],[PLOM MW TOTAL BARRA A]]+TBL_CalcDarwin[[#This Row],[PLOM MW TOTAL BARRA B]]</f>
        <v>0</v>
      </c>
      <c r="F82" s="34">
        <f>TBL_CalcDarwin[[#This Row],[PLOME MW TOTAL BARRA A]]+TBL_CalcDarwin[[#This Row],[PLOME MW TOTAL BARRA B]]</f>
        <v>0</v>
      </c>
      <c r="G82" s="48">
        <f>'Plantilla Datos'!D87</f>
        <v>1.4</v>
      </c>
      <c r="H82" s="48">
        <f>'Plantilla Datos'!E87</f>
        <v>2.2999999999999998</v>
      </c>
      <c r="I82" s="49">
        <f>'Plantilla Datos'!F87</f>
        <v>17.7</v>
      </c>
      <c r="J82" s="47">
        <f>CEILING('Plantilla Datos'!$L$3*TBL_CalcDarwin[[#This Row],[Darwin Gusts
m/s]],0.5)</f>
        <v>2</v>
      </c>
      <c r="K82" s="47">
        <f>CEILING('Plantilla Datos'!$L$4*TBL_CalcDarwin[[#This Row],[Darwin Gusts
m/s]],0.5)</f>
        <v>2</v>
      </c>
      <c r="L82" s="47">
        <f>CEILING(TBL_CalcDarwin[[#This Row],[Darwin Gusts
m/s]],0.5)</f>
        <v>2.5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82" s="41">
        <f>INDEX(Curva_Temp[Temp],MATCH(TBL_CalcDarwin[[#This Row],[Darwin Temp.
°C]],Curva_Temp[Temp]))</f>
        <v>15</v>
      </c>
      <c r="R82" s="41">
        <f>INDEX(Curva_Temp[Warranted Power Curve for 
1.194Kg/m3 air density '[kW']
SG 5.0-145 (AM+1, 5.2MW) AT 
90M],MATCH(TBL_CalcDarwin[[#This Row],[Darwin Temp.
°C]],Curva_Temp[Temp]))</f>
        <v>5200</v>
      </c>
      <c r="S82" s="41" cm="1">
        <f t="array" ref="S82">INDEX(Curva_Temp[Temp],MATCH(TBL_CalcDarwin[[#This Row],[Darwin Temp.
°C]],Curva_Temp[Temp])+1)</f>
        <v>20</v>
      </c>
      <c r="T82" s="41" cm="1">
        <f t="array" ref="T82">INDEX(Curva_Temp[Warranted Power Curve for 
1.194Kg/m3 air density '[kW']
SG 5.0-145 (AM+1, 5.2MW) AT 
90M],MATCH(TBL_CalcDarwin[[#This Row],[Darwin Temp.
°C]],Curva_Temp[Temp])+1)</f>
        <v>5000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82" s="41">
        <f>INDEX(Curva_Temp[Temp],MATCH(TBL_CalcDarwin[[#This Row],[Darwin Temp.
°C]],Curva_Temp[Temp]))</f>
        <v>15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20</v>
      </c>
      <c r="AB82" s="41" cm="1">
        <f t="array" ref="AB82">INDEX(Curva_Temp[Warranted Power Curve for 
1.194Kg/m3 air density '[kW']
SG 5.0-145 (AM 0, 5.0MW) AT 
90M],MATCH(TBL_CalcDarwin[[#This Row],[Darwin Temp.
°C]],Curva_Temp[Temp])+1)</f>
        <v>5000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2" s="29">
        <f>TBL_CalcDarwin[[#This Row],[Expansión - Barra B - 5.2 - Cerro]]*TBL_CalcDarwin[[#This Row],[AEG 5.2 MW Cerro]]</f>
        <v>0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45447.374999999811</v>
      </c>
      <c r="C83" s="17">
        <f t="shared" si="8"/>
        <v>3.3749999999999964</v>
      </c>
      <c r="D83" s="34">
        <f>TBL_CalcDarwin[[#This Row],[Darwin PLOM
MW]]+TBL_CalcDarwin[[#This Row],[Darwin PLOME
MW]]</f>
        <v>0</v>
      </c>
      <c r="E83" s="34">
        <f>TBL_CalcDarwin[[#This Row],[PLOM MW TOTAL BARRA A]]+TBL_CalcDarwin[[#This Row],[PLOM MW TOTAL BARRA B]]</f>
        <v>0</v>
      </c>
      <c r="F83" s="34">
        <f>TBL_CalcDarwin[[#This Row],[PLOME MW TOTAL BARRA A]]+TBL_CalcDarwin[[#This Row],[PLOME MW TOTAL BARRA B]]</f>
        <v>0</v>
      </c>
      <c r="G83" s="48">
        <f>'Plantilla Datos'!D88</f>
        <v>1.4</v>
      </c>
      <c r="H83" s="48">
        <f>'Plantilla Datos'!E88</f>
        <v>2.1</v>
      </c>
      <c r="I83" s="49">
        <f>'Plantilla Datos'!F88</f>
        <v>18.100000000000001</v>
      </c>
      <c r="J83" s="47">
        <f>CEILING('Plantilla Datos'!$L$3*TBL_CalcDarwin[[#This Row],[Darwin Gusts
m/s]],0.5)</f>
        <v>2</v>
      </c>
      <c r="K83" s="47">
        <f>CEILING('Plantilla Datos'!$L$4*TBL_CalcDarwin[[#This Row],[Darwin Gusts
m/s]],0.5)</f>
        <v>2</v>
      </c>
      <c r="L83" s="47">
        <f>CEILING(TBL_CalcDarwin[[#This Row],[Darwin Gusts
m/s]],0.5)</f>
        <v>2.5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83" s="41">
        <f>INDEX(Curva_Temp[Temp],MATCH(TBL_CalcDarwin[[#This Row],[Darwin Temp.
°C]],Curva_Temp[Temp]))</f>
        <v>15</v>
      </c>
      <c r="R83" s="41">
        <f>INDEX(Curva_Temp[Warranted Power Curve for 
1.194Kg/m3 air density '[kW']
SG 5.0-145 (AM+1, 5.2MW) AT 
90M],MATCH(TBL_CalcDarwin[[#This Row],[Darwin Temp.
°C]],Curva_Temp[Temp]))</f>
        <v>5200</v>
      </c>
      <c r="S83" s="41" cm="1">
        <f t="array" ref="S83">INDEX(Curva_Temp[Temp],MATCH(TBL_CalcDarwin[[#This Row],[Darwin Temp.
°C]],Curva_Temp[Temp])+1)</f>
        <v>20</v>
      </c>
      <c r="T83" s="41" cm="1">
        <f t="array" ref="T83">INDEX(Curva_Temp[Warranted Power Curve for 
1.194Kg/m3 air density '[kW']
SG 5.0-145 (AM+1, 5.2MW) AT 
90M],MATCH(TBL_CalcDarwin[[#This Row],[Darwin Temp.
°C]],Curva_Temp[Temp])+1)</f>
        <v>5000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83" s="41">
        <f>INDEX(Curva_Temp[Temp],MATCH(TBL_CalcDarwin[[#This Row],[Darwin Temp.
°C]],Curva_Temp[Temp]))</f>
        <v>15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20</v>
      </c>
      <c r="AB83" s="41" cm="1">
        <f t="array" ref="AB83">INDEX(Curva_Temp[Warranted Power Curve for 
1.194Kg/m3 air density '[kW']
SG 5.0-145 (AM 0, 5.0MW) AT 
90M],MATCH(TBL_CalcDarwin[[#This Row],[Darwin Temp.
°C]],Curva_Temp[Temp])+1)</f>
        <v>5000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3" s="29">
        <f>TBL_CalcDarwin[[#This Row],[Expansión - Barra B - 5.2 - Cerro]]*TBL_CalcDarwin[[#This Row],[AEG 5.2 MW Cerro]]</f>
        <v>0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45447.416666666475</v>
      </c>
      <c r="C84" s="17">
        <f t="shared" si="8"/>
        <v>3.416666666666663</v>
      </c>
      <c r="D84" s="34">
        <f>TBL_CalcDarwin[[#This Row],[Darwin PLOM
MW]]+TBL_CalcDarwin[[#This Row],[Darwin PLOME
MW]]</f>
        <v>0</v>
      </c>
      <c r="E84" s="34">
        <f>TBL_CalcDarwin[[#This Row],[PLOM MW TOTAL BARRA A]]+TBL_CalcDarwin[[#This Row],[PLOM MW TOTAL BARRA B]]</f>
        <v>0</v>
      </c>
      <c r="F84" s="34">
        <f>TBL_CalcDarwin[[#This Row],[PLOME MW TOTAL BARRA A]]+TBL_CalcDarwin[[#This Row],[PLOME MW TOTAL BARRA B]]</f>
        <v>0</v>
      </c>
      <c r="G84" s="48">
        <f>'Plantilla Datos'!D89</f>
        <v>1.5</v>
      </c>
      <c r="H84" s="48">
        <f>'Plantilla Datos'!E89</f>
        <v>2.2999999999999998</v>
      </c>
      <c r="I84" s="49">
        <f>'Plantilla Datos'!F89</f>
        <v>18.5</v>
      </c>
      <c r="J84" s="47">
        <f>CEILING('Plantilla Datos'!$L$3*TBL_CalcDarwin[[#This Row],[Darwin Gusts
m/s]],0.5)</f>
        <v>2</v>
      </c>
      <c r="K84" s="47">
        <f>CEILING('Plantilla Datos'!$L$4*TBL_CalcDarwin[[#This Row],[Darwin Gusts
m/s]],0.5)</f>
        <v>2</v>
      </c>
      <c r="L84" s="47">
        <f>CEILING(TBL_CalcDarwin[[#This Row],[Darwin Gusts
m/s]],0.5)</f>
        <v>2.5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84" s="41">
        <f>INDEX(Curva_Temp[Temp],MATCH(TBL_CalcDarwin[[#This Row],[Darwin Temp.
°C]],Curva_Temp[Temp]))</f>
        <v>15</v>
      </c>
      <c r="R84" s="41">
        <f>INDEX(Curva_Temp[Warranted Power Curve for 
1.194Kg/m3 air density '[kW']
SG 5.0-145 (AM+1, 5.2MW) AT 
90M],MATCH(TBL_CalcDarwin[[#This Row],[Darwin Temp.
°C]],Curva_Temp[Temp]))</f>
        <v>5200</v>
      </c>
      <c r="S84" s="41" cm="1">
        <f t="array" ref="S84">INDEX(Curva_Temp[Temp],MATCH(TBL_CalcDarwin[[#This Row],[Darwin Temp.
°C]],Curva_Temp[Temp])+1)</f>
        <v>20</v>
      </c>
      <c r="T84" s="41" cm="1">
        <f t="array" ref="T84">INDEX(Curva_Temp[Warranted Power Curve for 
1.194Kg/m3 air density '[kW']
SG 5.0-145 (AM+1, 5.2MW) AT 
90M],MATCH(TBL_CalcDarwin[[#This Row],[Darwin Temp.
°C]],Curva_Temp[Temp])+1)</f>
        <v>5000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84" s="41">
        <f>INDEX(Curva_Temp[Temp],MATCH(TBL_CalcDarwin[[#This Row],[Darwin Temp.
°C]],Curva_Temp[Temp]))</f>
        <v>15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20</v>
      </c>
      <c r="AB84" s="41" cm="1">
        <f t="array" ref="AB84">INDEX(Curva_Temp[Warranted Power Curve for 
1.194Kg/m3 air density '[kW']
SG 5.0-145 (AM 0, 5.0MW) AT 
90M],MATCH(TBL_CalcDarwin[[#This Row],[Darwin Temp.
°C]],Curva_Temp[Temp])+1)</f>
        <v>5000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4" s="29">
        <f>TBL_CalcDarwin[[#This Row],[Expansión - Barra B - 5.2 - Cerro]]*TBL_CalcDarwin[[#This Row],[AEG 5.2 MW Cerro]]</f>
        <v>0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45447.458333333139</v>
      </c>
      <c r="C85" s="17">
        <f t="shared" si="8"/>
        <v>3.4583333333333295</v>
      </c>
      <c r="D85" s="34">
        <f>TBL_CalcDarwin[[#This Row],[Darwin PLOM
MW]]+TBL_CalcDarwin[[#This Row],[Darwin PLOME
MW]]</f>
        <v>1.6910000000000003</v>
      </c>
      <c r="E85" s="34">
        <f>TBL_CalcDarwin[[#This Row],[PLOM MW TOTAL BARRA A]]+TBL_CalcDarwin[[#This Row],[PLOM MW TOTAL BARRA B]]</f>
        <v>1.6910000000000003</v>
      </c>
      <c r="F85" s="34">
        <f>TBL_CalcDarwin[[#This Row],[PLOME MW TOTAL BARRA A]]+TBL_CalcDarwin[[#This Row],[PLOME MW TOTAL BARRA B]]</f>
        <v>0</v>
      </c>
      <c r="G85" s="48">
        <f>'Plantilla Datos'!D90</f>
        <v>1.8</v>
      </c>
      <c r="H85" s="48">
        <f>'Plantilla Datos'!E90</f>
        <v>2.6</v>
      </c>
      <c r="I85" s="49">
        <f>'Plantilla Datos'!F90</f>
        <v>18.8</v>
      </c>
      <c r="J85" s="47">
        <f>CEILING('Plantilla Datos'!$L$3*TBL_CalcDarwin[[#This Row],[Darwin Gusts
m/s]],0.5)</f>
        <v>2</v>
      </c>
      <c r="K85" s="47">
        <f>CEILING('Plantilla Datos'!$L$4*TBL_CalcDarwin[[#This Row],[Darwin Gusts
m/s]],0.5)</f>
        <v>2.5</v>
      </c>
      <c r="L85" s="47">
        <f>CEILING(TBL_CalcDarwin[[#This Row],[Darwin Gusts
m/s]],0.5)</f>
        <v>3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85" s="41">
        <f>INDEX(Curva_Temp[Temp],MATCH(TBL_CalcDarwin[[#This Row],[Darwin Temp.
°C]],Curva_Temp[Temp]))</f>
        <v>15</v>
      </c>
      <c r="R85" s="41">
        <f>INDEX(Curva_Temp[Warranted Power Curve for 
1.194Kg/m3 air density '[kW']
SG 5.0-145 (AM+1, 5.2MW) AT 
90M],MATCH(TBL_CalcDarwin[[#This Row],[Darwin Temp.
°C]],Curva_Temp[Temp]))</f>
        <v>5200</v>
      </c>
      <c r="S85" s="41" cm="1">
        <f t="array" ref="S85">INDEX(Curva_Temp[Temp],MATCH(TBL_CalcDarwin[[#This Row],[Darwin Temp.
°C]],Curva_Temp[Temp])+1)</f>
        <v>20</v>
      </c>
      <c r="T85" s="41" cm="1">
        <f t="array" ref="T85">INDEX(Curva_Temp[Warranted Power Curve for 
1.194Kg/m3 air density '[kW']
SG 5.0-145 (AM+1, 5.2MW) AT 
90M],MATCH(TBL_CalcDarwin[[#This Row],[Darwin Temp.
°C]],Curva_Temp[Temp])+1)</f>
        <v>5000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85" s="41">
        <f>INDEX(Curva_Temp[Temp],MATCH(TBL_CalcDarwin[[#This Row],[Darwin Temp.
°C]],Curva_Temp[Temp]))</f>
        <v>15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20</v>
      </c>
      <c r="AB85" s="41" cm="1">
        <f t="array" ref="AB85">INDEX(Curva_Temp[Warranted Power Curve for 
1.194Kg/m3 air density '[kW']
SG 5.0-145 (AM 0, 5.0MW) AT 
90M],MATCH(TBL_CalcDarwin[[#This Row],[Darwin Temp.
°C]],Curva_Temp[Temp])+1)</f>
        <v>5000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0.66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5" s="29">
        <f>TBL_CalcDarwin[[#This Row],[Expansión - Barra B - 5.2 - Cerro]]*TBL_CalcDarwin[[#This Row],[AEG 5.2 MW Cerro]]</f>
        <v>0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45447.499999999804</v>
      </c>
      <c r="C86" s="17">
        <f t="shared" si="8"/>
        <v>3.499999999999996</v>
      </c>
      <c r="D86" s="34">
        <f>TBL_CalcDarwin[[#This Row],[Darwin PLOM
MW]]+TBL_CalcDarwin[[#This Row],[Darwin PLOME
MW]]</f>
        <v>2.3510000000000004</v>
      </c>
      <c r="E86" s="34">
        <f>TBL_CalcDarwin[[#This Row],[PLOM MW TOTAL BARRA A]]+TBL_CalcDarwin[[#This Row],[PLOM MW TOTAL BARRA B]]</f>
        <v>2.2960000000000003</v>
      </c>
      <c r="F86" s="34">
        <f>TBL_CalcDarwin[[#This Row],[PLOME MW TOTAL BARRA A]]+TBL_CalcDarwin[[#This Row],[PLOME MW TOTAL BARRA B]]</f>
        <v>5.5E-2</v>
      </c>
      <c r="G86" s="48">
        <f>'Plantilla Datos'!D91</f>
        <v>2.2000000000000002</v>
      </c>
      <c r="H86" s="48">
        <f>'Plantilla Datos'!E91</f>
        <v>3</v>
      </c>
      <c r="I86" s="49">
        <f>'Plantilla Datos'!F91</f>
        <v>19</v>
      </c>
      <c r="J86" s="47">
        <f>CEILING('Plantilla Datos'!$L$3*TBL_CalcDarwin[[#This Row],[Darwin Gusts
m/s]],0.5)</f>
        <v>2.5</v>
      </c>
      <c r="K86" s="47">
        <f>CEILING('Plantilla Datos'!$L$4*TBL_CalcDarwin[[#This Row],[Darwin Gusts
m/s]],0.5)</f>
        <v>3</v>
      </c>
      <c r="L86" s="47">
        <f>CEILING(TBL_CalcDarwin[[#This Row],[Darwin Gusts
m/s]],0.5)</f>
        <v>3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86" s="41">
        <f>INDEX(Curva_Temp[Temp],MATCH(TBL_CalcDarwin[[#This Row],[Darwin Temp.
°C]],Curva_Temp[Temp]))</f>
        <v>15</v>
      </c>
      <c r="R86" s="41">
        <f>INDEX(Curva_Temp[Warranted Power Curve for 
1.194Kg/m3 air density '[kW']
SG 5.0-145 (AM+1, 5.2MW) AT 
90M],MATCH(TBL_CalcDarwin[[#This Row],[Darwin Temp.
°C]],Curva_Temp[Temp]))</f>
        <v>5200</v>
      </c>
      <c r="S86" s="41" cm="1">
        <f t="array" ref="S86">INDEX(Curva_Temp[Temp],MATCH(TBL_CalcDarwin[[#This Row],[Darwin Temp.
°C]],Curva_Temp[Temp])+1)</f>
        <v>20</v>
      </c>
      <c r="T86" s="41" cm="1">
        <f t="array" ref="T86">INDEX(Curva_Temp[Warranted Power Curve for 
1.194Kg/m3 air density '[kW']
SG 5.0-145 (AM+1, 5.2MW) AT 
90M],MATCH(TBL_CalcDarwin[[#This Row],[Darwin Temp.
°C]],Curva_Temp[Temp])+1)</f>
        <v>5000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86" s="41">
        <f>INDEX(Curva_Temp[Temp],MATCH(TBL_CalcDarwin[[#This Row],[Darwin Temp.
°C]],Curva_Temp[Temp]))</f>
        <v>15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20</v>
      </c>
      <c r="AB86" s="41" cm="1">
        <f t="array" ref="AB86">INDEX(Curva_Temp[Warranted Power Curve for 
1.194Kg/m3 air density '[kW']
SG 5.0-145 (AM 0, 5.0MW) AT 
90M],MATCH(TBL_CalcDarwin[[#This Row],[Darwin Temp.
°C]],Curva_Temp[Temp])+1)</f>
        <v>5000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1.1000000000000001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1.1960000000000002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86" s="29">
        <f>TBL_CalcDarwin[[#This Row],[Expansión - Barra B - 5.2 - Cerro]]*TBL_CalcDarwin[[#This Row],[AEG 5.2 MW Cerro]]</f>
        <v>0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45447.541666666468</v>
      </c>
      <c r="C87" s="17">
        <f t="shared" si="8"/>
        <v>3.5416666666666625</v>
      </c>
      <c r="D87" s="34">
        <f>TBL_CalcDarwin[[#This Row],[Darwin PLOM
MW]]+TBL_CalcDarwin[[#This Row],[Darwin PLOME
MW]]</f>
        <v>4.6549999999999994</v>
      </c>
      <c r="E87" s="34">
        <f>TBL_CalcDarwin[[#This Row],[PLOM MW TOTAL BARRA A]]+TBL_CalcDarwin[[#This Row],[PLOM MW TOTAL BARRA B]]</f>
        <v>4.5999999999999996</v>
      </c>
      <c r="F87" s="34">
        <f>TBL_CalcDarwin[[#This Row],[PLOME MW TOTAL BARRA A]]+TBL_CalcDarwin[[#This Row],[PLOME MW TOTAL BARRA B]]</f>
        <v>5.5E-2</v>
      </c>
      <c r="G87" s="48">
        <f>'Plantilla Datos'!D92</f>
        <v>2.5</v>
      </c>
      <c r="H87" s="48">
        <f>'Plantilla Datos'!E92</f>
        <v>3.4</v>
      </c>
      <c r="I87" s="49">
        <f>'Plantilla Datos'!F92</f>
        <v>19.2</v>
      </c>
      <c r="J87" s="47">
        <f>CEILING('Plantilla Datos'!$L$3*TBL_CalcDarwin[[#This Row],[Darwin Gusts
m/s]],0.5)</f>
        <v>2.5</v>
      </c>
      <c r="K87" s="47">
        <f>CEILING('Plantilla Datos'!$L$4*TBL_CalcDarwin[[#This Row],[Darwin Gusts
m/s]],0.5)</f>
        <v>3</v>
      </c>
      <c r="L87" s="47">
        <f>CEILING(TBL_CalcDarwin[[#This Row],[Darwin Gusts
m/s]],0.5)</f>
        <v>3.5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87" s="41">
        <f>INDEX(Curva_Temp[Temp],MATCH(TBL_CalcDarwin[[#This Row],[Darwin Temp.
°C]],Curva_Temp[Temp]))</f>
        <v>15</v>
      </c>
      <c r="R87" s="41">
        <f>INDEX(Curva_Temp[Warranted Power Curve for 
1.194Kg/m3 air density '[kW']
SG 5.0-145 (AM+1, 5.2MW) AT 
90M],MATCH(TBL_CalcDarwin[[#This Row],[Darwin Temp.
°C]],Curva_Temp[Temp]))</f>
        <v>5200</v>
      </c>
      <c r="S87" s="41" cm="1">
        <f t="array" ref="S87">INDEX(Curva_Temp[Temp],MATCH(TBL_CalcDarwin[[#This Row],[Darwin Temp.
°C]],Curva_Temp[Temp])+1)</f>
        <v>20</v>
      </c>
      <c r="T87" s="41" cm="1">
        <f t="array" ref="T87">INDEX(Curva_Temp[Warranted Power Curve for 
1.194Kg/m3 air density '[kW']
SG 5.0-145 (AM+1, 5.2MW) AT 
90M],MATCH(TBL_CalcDarwin[[#This Row],[Darwin Temp.
°C]],Curva_Temp[Temp])+1)</f>
        <v>5000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87" s="41">
        <f>INDEX(Curva_Temp[Temp],MATCH(TBL_CalcDarwin[[#This Row],[Darwin Temp.
°C]],Curva_Temp[Temp]))</f>
        <v>15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20</v>
      </c>
      <c r="AB87" s="41" cm="1">
        <f t="array" ref="AB87">INDEX(Curva_Temp[Warranted Power Curve for 
1.194Kg/m3 air density '[kW']
SG 5.0-145 (AM 0, 5.0MW) AT 
90M],MATCH(TBL_CalcDarwin[[#This Row],[Darwin Temp.
°C]],Curva_Temp[Temp])+1)</f>
        <v>5000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87" s="29">
        <f>TBL_CalcDarwin[[#This Row],[Expansión - Barra B - 5.2 - Cerro]]*TBL_CalcDarwin[[#This Row],[AEG 5.2 MW Cerro]]</f>
        <v>0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45447.583333333132</v>
      </c>
      <c r="C88" s="17">
        <f t="shared" si="8"/>
        <v>3.583333333333329</v>
      </c>
      <c r="D88" s="34">
        <f>TBL_CalcDarwin[[#This Row],[Darwin PLOM
MW]]+TBL_CalcDarwin[[#This Row],[Darwin PLOME
MW]]</f>
        <v>9.4850000000000012</v>
      </c>
      <c r="E88" s="34">
        <f>TBL_CalcDarwin[[#This Row],[PLOM MW TOTAL BARRA A]]+TBL_CalcDarwin[[#This Row],[PLOM MW TOTAL BARRA B]]</f>
        <v>9.245000000000001</v>
      </c>
      <c r="F88" s="34">
        <f>TBL_CalcDarwin[[#This Row],[PLOME MW TOTAL BARRA A]]+TBL_CalcDarwin[[#This Row],[PLOME MW TOTAL BARRA B]]</f>
        <v>0.24</v>
      </c>
      <c r="G88" s="48">
        <f>'Plantilla Datos'!D93</f>
        <v>2.7</v>
      </c>
      <c r="H88" s="48">
        <f>'Plantilla Datos'!E93</f>
        <v>3.7</v>
      </c>
      <c r="I88" s="49">
        <f>'Plantilla Datos'!F93</f>
        <v>18.899999999999999</v>
      </c>
      <c r="J88" s="47">
        <f>CEILING('Plantilla Datos'!$L$3*TBL_CalcDarwin[[#This Row],[Darwin Gusts
m/s]],0.5)</f>
        <v>3</v>
      </c>
      <c r="K88" s="47">
        <f>CEILING('Plantilla Datos'!$L$4*TBL_CalcDarwin[[#This Row],[Darwin Gusts
m/s]],0.5)</f>
        <v>3.5</v>
      </c>
      <c r="L88" s="47">
        <f>CEILING(TBL_CalcDarwin[[#This Row],[Darwin Gusts
m/s]],0.5)</f>
        <v>4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88" s="41">
        <f>INDEX(Curva_Temp[Temp],MATCH(TBL_CalcDarwin[[#This Row],[Darwin Temp.
°C]],Curva_Temp[Temp]))</f>
        <v>15</v>
      </c>
      <c r="R88" s="41">
        <f>INDEX(Curva_Temp[Warranted Power Curve for 
1.194Kg/m3 air density '[kW']
SG 5.0-145 (AM+1, 5.2MW) AT 
90M],MATCH(TBL_CalcDarwin[[#This Row],[Darwin Temp.
°C]],Curva_Temp[Temp]))</f>
        <v>5200</v>
      </c>
      <c r="S88" s="41" cm="1">
        <f t="array" ref="S88">INDEX(Curva_Temp[Temp],MATCH(TBL_CalcDarwin[[#This Row],[Darwin Temp.
°C]],Curva_Temp[Temp])+1)</f>
        <v>20</v>
      </c>
      <c r="T88" s="41" cm="1">
        <f t="array" ref="T88">INDEX(Curva_Temp[Warranted Power Curve for 
1.194Kg/m3 air density '[kW']
SG 5.0-145 (AM+1, 5.2MW) AT 
90M],MATCH(TBL_CalcDarwin[[#This Row],[Darwin Temp.
°C]],Curva_Temp[Temp])+1)</f>
        <v>5000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88" s="41">
        <f>INDEX(Curva_Temp[Temp],MATCH(TBL_CalcDarwin[[#This Row],[Darwin Temp.
°C]],Curva_Temp[Temp]))</f>
        <v>15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20</v>
      </c>
      <c r="AB88" s="41" cm="1">
        <f t="array" ref="AB88">INDEX(Curva_Temp[Warranted Power Curve for 
1.194Kg/m3 air density '[kW']
SG 5.0-145 (AM 0, 5.0MW) AT 
90M],MATCH(TBL_CalcDarwin[[#This Row],[Darwin Temp.
°C]],Curva_Temp[Temp])+1)</f>
        <v>5000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88" s="29">
        <f>TBL_CalcDarwin[[#This Row],[Expansión - Barra B - 5.2 - Cerro]]*TBL_CalcDarwin[[#This Row],[AEG 5.2 MW Cerro]]</f>
        <v>5.5E-2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45447.624999999796</v>
      </c>
      <c r="C89" s="17">
        <f t="shared" si="8"/>
        <v>3.6249999999999956</v>
      </c>
      <c r="D89" s="34">
        <f>TBL_CalcDarwin[[#This Row],[Darwin PLOM
MW]]+TBL_CalcDarwin[[#This Row],[Darwin PLOME
MW]]</f>
        <v>9.4850000000000012</v>
      </c>
      <c r="E89" s="34">
        <f>TBL_CalcDarwin[[#This Row],[PLOM MW TOTAL BARRA A]]+TBL_CalcDarwin[[#This Row],[PLOM MW TOTAL BARRA B]]</f>
        <v>9.245000000000001</v>
      </c>
      <c r="F89" s="34">
        <f>TBL_CalcDarwin[[#This Row],[PLOME MW TOTAL BARRA A]]+TBL_CalcDarwin[[#This Row],[PLOME MW TOTAL BARRA B]]</f>
        <v>0.24</v>
      </c>
      <c r="G89" s="48">
        <f>'Plantilla Datos'!D94</f>
        <v>2.9</v>
      </c>
      <c r="H89" s="48">
        <f>'Plantilla Datos'!E94</f>
        <v>3.9</v>
      </c>
      <c r="I89" s="49">
        <f>'Plantilla Datos'!F94</f>
        <v>18.7</v>
      </c>
      <c r="J89" s="47">
        <f>CEILING('Plantilla Datos'!$L$3*TBL_CalcDarwin[[#This Row],[Darwin Gusts
m/s]],0.5)</f>
        <v>3</v>
      </c>
      <c r="K89" s="47">
        <f>CEILING('Plantilla Datos'!$L$4*TBL_CalcDarwin[[#This Row],[Darwin Gusts
m/s]],0.5)</f>
        <v>3.5</v>
      </c>
      <c r="L89" s="47">
        <f>CEILING(TBL_CalcDarwin[[#This Row],[Darwin Gusts
m/s]],0.5)</f>
        <v>4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89" s="41">
        <f>INDEX(Curva_Temp[Temp],MATCH(TBL_CalcDarwin[[#This Row],[Darwin Temp.
°C]],Curva_Temp[Temp]))</f>
        <v>15</v>
      </c>
      <c r="R89" s="41">
        <f>INDEX(Curva_Temp[Warranted Power Curve for 
1.194Kg/m3 air density '[kW']
SG 5.0-145 (AM+1, 5.2MW) AT 
90M],MATCH(TBL_CalcDarwin[[#This Row],[Darwin Temp.
°C]],Curva_Temp[Temp]))</f>
        <v>5200</v>
      </c>
      <c r="S89" s="41" cm="1">
        <f t="array" ref="S89">INDEX(Curva_Temp[Temp],MATCH(TBL_CalcDarwin[[#This Row],[Darwin Temp.
°C]],Curva_Temp[Temp])+1)</f>
        <v>20</v>
      </c>
      <c r="T89" s="41" cm="1">
        <f t="array" ref="T89">INDEX(Curva_Temp[Warranted Power Curve for 
1.194Kg/m3 air density '[kW']
SG 5.0-145 (AM+1, 5.2MW) AT 
90M],MATCH(TBL_CalcDarwin[[#This Row],[Darwin Temp.
°C]],Curva_Temp[Temp])+1)</f>
        <v>5000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89" s="41">
        <f>INDEX(Curva_Temp[Temp],MATCH(TBL_CalcDarwin[[#This Row],[Darwin Temp.
°C]],Curva_Temp[Temp]))</f>
        <v>15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20</v>
      </c>
      <c r="AB89" s="41" cm="1">
        <f t="array" ref="AB89">INDEX(Curva_Temp[Warranted Power Curve for 
1.194Kg/m3 air density '[kW']
SG 5.0-145 (AM 0, 5.0MW) AT 
90M],MATCH(TBL_CalcDarwin[[#This Row],[Darwin Temp.
°C]],Curva_Temp[Temp])+1)</f>
        <v>5000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89" s="29">
        <f>TBL_CalcDarwin[[#This Row],[Expansión - Barra B - 5.2 - Cerro]]*TBL_CalcDarwin[[#This Row],[AEG 5.2 MW Cerro]]</f>
        <v>5.5E-2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45447.666666666461</v>
      </c>
      <c r="C90" s="17">
        <f t="shared" si="8"/>
        <v>3.6666666666666621</v>
      </c>
      <c r="D90" s="34">
        <f>TBL_CalcDarwin[[#This Row],[Darwin PLOM
MW]]+TBL_CalcDarwin[[#This Row],[Darwin PLOME
MW]]</f>
        <v>15.728</v>
      </c>
      <c r="E90" s="34">
        <f>TBL_CalcDarwin[[#This Row],[PLOM MW TOTAL BARRA A]]+TBL_CalcDarwin[[#This Row],[PLOM MW TOTAL BARRA B]]</f>
        <v>15.224</v>
      </c>
      <c r="F90" s="34">
        <f>TBL_CalcDarwin[[#This Row],[PLOME MW TOTAL BARRA A]]+TBL_CalcDarwin[[#This Row],[PLOME MW TOTAL BARRA B]]</f>
        <v>0.504</v>
      </c>
      <c r="G90" s="48">
        <f>'Plantilla Datos'!D95</f>
        <v>3.1</v>
      </c>
      <c r="H90" s="48">
        <f>'Plantilla Datos'!E95</f>
        <v>4.2</v>
      </c>
      <c r="I90" s="49">
        <f>'Plantilla Datos'!F95</f>
        <v>18.3</v>
      </c>
      <c r="J90" s="47">
        <f>CEILING('Plantilla Datos'!$L$3*TBL_CalcDarwin[[#This Row],[Darwin Gusts
m/s]],0.5)</f>
        <v>3.5</v>
      </c>
      <c r="K90" s="47">
        <f>CEILING('Plantilla Datos'!$L$4*TBL_CalcDarwin[[#This Row],[Darwin Gusts
m/s]],0.5)</f>
        <v>4</v>
      </c>
      <c r="L90" s="47">
        <f>CEILING(TBL_CalcDarwin[[#This Row],[Darwin Gusts
m/s]],0.5)</f>
        <v>4.5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90" s="41">
        <f>INDEX(Curva_Temp[Temp],MATCH(TBL_CalcDarwin[[#This Row],[Darwin Temp.
°C]],Curva_Temp[Temp]))</f>
        <v>15</v>
      </c>
      <c r="R90" s="41">
        <f>INDEX(Curva_Temp[Warranted Power Curve for 
1.194Kg/m3 air density '[kW']
SG 5.0-145 (AM+1, 5.2MW) AT 
90M],MATCH(TBL_CalcDarwin[[#This Row],[Darwin Temp.
°C]],Curva_Temp[Temp]))</f>
        <v>5200</v>
      </c>
      <c r="S90" s="41" cm="1">
        <f t="array" ref="S90">INDEX(Curva_Temp[Temp],MATCH(TBL_CalcDarwin[[#This Row],[Darwin Temp.
°C]],Curva_Temp[Temp])+1)</f>
        <v>20</v>
      </c>
      <c r="T90" s="41" cm="1">
        <f t="array" ref="T90">INDEX(Curva_Temp[Warranted Power Curve for 
1.194Kg/m3 air density '[kW']
SG 5.0-145 (AM+1, 5.2MW) AT 
90M],MATCH(TBL_CalcDarwin[[#This Row],[Darwin Temp.
°C]],Curva_Temp[Temp])+1)</f>
        <v>5000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90" s="41">
        <f>INDEX(Curva_Temp[Temp],MATCH(TBL_CalcDarwin[[#This Row],[Darwin Temp.
°C]],Curva_Temp[Temp]))</f>
        <v>15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20</v>
      </c>
      <c r="AB90" s="41" cm="1">
        <f t="array" ref="AB90">INDEX(Curva_Temp[Warranted Power Curve for 
1.194Kg/m3 air density '[kW']
SG 5.0-145 (AM 0, 5.0MW) AT 
90M],MATCH(TBL_CalcDarwin[[#This Row],[Darwin Temp.
°C]],Curva_Temp[Temp])+1)</f>
        <v>5000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90" s="29">
        <f>TBL_CalcDarwin[[#This Row],[Expansión - Barra B - 5.2 - Cerro]]*TBL_CalcDarwin[[#This Row],[AEG 5.2 MW Cerro]]</f>
        <v>0.13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45447.708333333125</v>
      </c>
      <c r="C91" s="17">
        <f t="shared" si="8"/>
        <v>3.7083333333333286</v>
      </c>
      <c r="D91" s="34">
        <f>TBL_CalcDarwin[[#This Row],[Darwin PLOM
MW]]+TBL_CalcDarwin[[#This Row],[Darwin PLOME
MW]]</f>
        <v>22.52</v>
      </c>
      <c r="E91" s="34">
        <f>TBL_CalcDarwin[[#This Row],[PLOM MW TOTAL BARRA A]]+TBL_CalcDarwin[[#This Row],[PLOM MW TOTAL BARRA B]]</f>
        <v>21.878</v>
      </c>
      <c r="F91" s="34">
        <f>TBL_CalcDarwin[[#This Row],[PLOME MW TOTAL BARRA A]]+TBL_CalcDarwin[[#This Row],[PLOME MW TOTAL BARRA B]]</f>
        <v>0.64200000000000002</v>
      </c>
      <c r="G91" s="48">
        <f>'Plantilla Datos'!D96</f>
        <v>3.6</v>
      </c>
      <c r="H91" s="48">
        <f>'Plantilla Datos'!E96</f>
        <v>4.8</v>
      </c>
      <c r="I91" s="49">
        <f>'Plantilla Datos'!F96</f>
        <v>18.2</v>
      </c>
      <c r="J91" s="47">
        <f>CEILING('Plantilla Datos'!$L$3*TBL_CalcDarwin[[#This Row],[Darwin Gusts
m/s]],0.5)</f>
        <v>3.5</v>
      </c>
      <c r="K91" s="47">
        <f>CEILING('Plantilla Datos'!$L$4*TBL_CalcDarwin[[#This Row],[Darwin Gusts
m/s]],0.5)</f>
        <v>4.5</v>
      </c>
      <c r="L91" s="47">
        <f>CEILING(TBL_CalcDarwin[[#This Row],[Darwin Gusts
m/s]],0.5)</f>
        <v>5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91" s="41">
        <f>INDEX(Curva_Temp[Temp],MATCH(TBL_CalcDarwin[[#This Row],[Darwin Temp.
°C]],Curva_Temp[Temp]))</f>
        <v>15</v>
      </c>
      <c r="R91" s="41">
        <f>INDEX(Curva_Temp[Warranted Power Curve for 
1.194Kg/m3 air density '[kW']
SG 5.0-145 (AM+1, 5.2MW) AT 
90M],MATCH(TBL_CalcDarwin[[#This Row],[Darwin Temp.
°C]],Curva_Temp[Temp]))</f>
        <v>5200</v>
      </c>
      <c r="S91" s="41" cm="1">
        <f t="array" ref="S91">INDEX(Curva_Temp[Temp],MATCH(TBL_CalcDarwin[[#This Row],[Darwin Temp.
°C]],Curva_Temp[Temp])+1)</f>
        <v>20</v>
      </c>
      <c r="T91" s="41" cm="1">
        <f t="array" ref="T91">INDEX(Curva_Temp[Warranted Power Curve for 
1.194Kg/m3 air density '[kW']
SG 5.0-145 (AM+1, 5.2MW) AT 
90M],MATCH(TBL_CalcDarwin[[#This Row],[Darwin Temp.
°C]],Curva_Temp[Temp])+1)</f>
        <v>5000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91" s="41">
        <f>INDEX(Curva_Temp[Temp],MATCH(TBL_CalcDarwin[[#This Row],[Darwin Temp.
°C]],Curva_Temp[Temp]))</f>
        <v>15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20</v>
      </c>
      <c r="AB91" s="41" cm="1">
        <f t="array" ref="AB91">INDEX(Curva_Temp[Warranted Power Curve for 
1.194Kg/m3 air density '[kW']
SG 5.0-145 (AM 0, 5.0MW) AT 
90M],MATCH(TBL_CalcDarwin[[#This Row],[Darwin Temp.
°C]],Curva_Temp[Temp])+1)</f>
        <v>5000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10.27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91" s="29">
        <f>TBL_CalcDarwin[[#This Row],[Expansión - Barra B - 5.2 - Cerro]]*TBL_CalcDarwin[[#This Row],[AEG 5.2 MW Cerro]]</f>
        <v>0.13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45447.749999999789</v>
      </c>
      <c r="C92" s="17">
        <f t="shared" si="8"/>
        <v>3.7499999999999951</v>
      </c>
      <c r="D92" s="34">
        <f>TBL_CalcDarwin[[#This Row],[Darwin PLOM
MW]]+TBL_CalcDarwin[[#This Row],[Darwin PLOME
MW]]</f>
        <v>31.571999999999999</v>
      </c>
      <c r="E92" s="34">
        <f>TBL_CalcDarwin[[#This Row],[PLOM MW TOTAL BARRA A]]+TBL_CalcDarwin[[#This Row],[PLOM MW TOTAL BARRA B]]</f>
        <v>30.536999999999999</v>
      </c>
      <c r="F92" s="34">
        <f>TBL_CalcDarwin[[#This Row],[PLOME MW TOTAL BARRA A]]+TBL_CalcDarwin[[#This Row],[PLOME MW TOTAL BARRA B]]</f>
        <v>1.0350000000000001</v>
      </c>
      <c r="G92" s="48">
        <f>'Plantilla Datos'!D97</f>
        <v>4.0999999999999996</v>
      </c>
      <c r="H92" s="48">
        <f>'Plantilla Datos'!E97</f>
        <v>5.3</v>
      </c>
      <c r="I92" s="49">
        <f>'Plantilla Datos'!F97</f>
        <v>17.7</v>
      </c>
      <c r="J92" s="47">
        <f>CEILING('Plantilla Datos'!$L$3*TBL_CalcDarwin[[#This Row],[Darwin Gusts
m/s]],0.5)</f>
        <v>4</v>
      </c>
      <c r="K92" s="47">
        <f>CEILING('Plantilla Datos'!$L$4*TBL_CalcDarwin[[#This Row],[Darwin Gusts
m/s]],0.5)</f>
        <v>5</v>
      </c>
      <c r="L92" s="47">
        <f>CEILING(TBL_CalcDarwin[[#This Row],[Darwin Gusts
m/s]],0.5)</f>
        <v>5.5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92" s="41">
        <f>INDEX(Curva_Temp[Temp],MATCH(TBL_CalcDarwin[[#This Row],[Darwin Temp.
°C]],Curva_Temp[Temp]))</f>
        <v>15</v>
      </c>
      <c r="R92" s="41">
        <f>INDEX(Curva_Temp[Warranted Power Curve for 
1.194Kg/m3 air density '[kW']
SG 5.0-145 (AM+1, 5.2MW) AT 
90M],MATCH(TBL_CalcDarwin[[#This Row],[Darwin Temp.
°C]],Curva_Temp[Temp]))</f>
        <v>5200</v>
      </c>
      <c r="S92" s="41" cm="1">
        <f t="array" ref="S92">INDEX(Curva_Temp[Temp],MATCH(TBL_CalcDarwin[[#This Row],[Darwin Temp.
°C]],Curva_Temp[Temp])+1)</f>
        <v>20</v>
      </c>
      <c r="T92" s="41" cm="1">
        <f t="array" ref="T92">INDEX(Curva_Temp[Warranted Power Curve for 
1.194Kg/m3 air density '[kW']
SG 5.0-145 (AM+1, 5.2MW) AT 
90M],MATCH(TBL_CalcDarwin[[#This Row],[Darwin Temp.
°C]],Curva_Temp[Temp])+1)</f>
        <v>5000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92" s="41">
        <f>INDEX(Curva_Temp[Temp],MATCH(TBL_CalcDarwin[[#This Row],[Darwin Temp.
°C]],Curva_Temp[Temp]))</f>
        <v>15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20</v>
      </c>
      <c r="AB92" s="41" cm="1">
        <f t="array" ref="AB92">INDEX(Curva_Temp[Warranted Power Curve for 
1.194Kg/m3 air density '[kW']
SG 5.0-145 (AM 0, 5.0MW) AT 
90M],MATCH(TBL_CalcDarwin[[#This Row],[Darwin Temp.
°C]],Curva_Temp[Temp])+1)</f>
        <v>5000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92" s="29">
        <f>TBL_CalcDarwin[[#This Row],[Expansión - Barra B - 5.2 - Cerro]]*TBL_CalcDarwin[[#This Row],[AEG 5.2 MW Cerro]]</f>
        <v>0.24399999999999999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45447.791666666453</v>
      </c>
      <c r="C93" s="17">
        <f t="shared" si="8"/>
        <v>3.7916666666666616</v>
      </c>
      <c r="D93" s="34">
        <f>TBL_CalcDarwin[[#This Row],[Darwin PLOM
MW]]+TBL_CalcDarwin[[#This Row],[Darwin PLOME
MW]]</f>
        <v>42.451000000000001</v>
      </c>
      <c r="E93" s="34">
        <f>TBL_CalcDarwin[[#This Row],[PLOM MW TOTAL BARRA A]]+TBL_CalcDarwin[[#This Row],[PLOM MW TOTAL BARRA B]]</f>
        <v>40.942</v>
      </c>
      <c r="F93" s="34">
        <f>TBL_CalcDarwin[[#This Row],[PLOME MW TOTAL BARRA A]]+TBL_CalcDarwin[[#This Row],[PLOME MW TOTAL BARRA B]]</f>
        <v>1.5089999999999999</v>
      </c>
      <c r="G93" s="48">
        <f>'Plantilla Datos'!D98</f>
        <v>4.5999999999999996</v>
      </c>
      <c r="H93" s="48">
        <f>'Plantilla Datos'!E98</f>
        <v>5.9</v>
      </c>
      <c r="I93" s="49">
        <f>'Plantilla Datos'!F98</f>
        <v>17.399999999999999</v>
      </c>
      <c r="J93" s="47">
        <f>CEILING('Plantilla Datos'!$L$3*TBL_CalcDarwin[[#This Row],[Darwin Gusts
m/s]],0.5)</f>
        <v>4.5</v>
      </c>
      <c r="K93" s="47">
        <f>CEILING('Plantilla Datos'!$L$4*TBL_CalcDarwin[[#This Row],[Darwin Gusts
m/s]],0.5)</f>
        <v>5.5</v>
      </c>
      <c r="L93" s="47">
        <f>CEILING(TBL_CalcDarwin[[#This Row],[Darwin Gusts
m/s]],0.5)</f>
        <v>6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93" s="41">
        <f>INDEX(Curva_Temp[Temp],MATCH(TBL_CalcDarwin[[#This Row],[Darwin Temp.
°C]],Curva_Temp[Temp]))</f>
        <v>15</v>
      </c>
      <c r="R93" s="41">
        <f>INDEX(Curva_Temp[Warranted Power Curve for 
1.194Kg/m3 air density '[kW']
SG 5.0-145 (AM+1, 5.2MW) AT 
90M],MATCH(TBL_CalcDarwin[[#This Row],[Darwin Temp.
°C]],Curva_Temp[Temp]))</f>
        <v>5200</v>
      </c>
      <c r="S93" s="41" cm="1">
        <f t="array" ref="S93">INDEX(Curva_Temp[Temp],MATCH(TBL_CalcDarwin[[#This Row],[Darwin Temp.
°C]],Curva_Temp[Temp])+1)</f>
        <v>20</v>
      </c>
      <c r="T93" s="41" cm="1">
        <f t="array" ref="T93">INDEX(Curva_Temp[Warranted Power Curve for 
1.194Kg/m3 air density '[kW']
SG 5.0-145 (AM+1, 5.2MW) AT 
90M],MATCH(TBL_CalcDarwin[[#This Row],[Darwin Temp.
°C]],Curva_Temp[Temp])+1)</f>
        <v>5000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93" s="41">
        <f>INDEX(Curva_Temp[Temp],MATCH(TBL_CalcDarwin[[#This Row],[Darwin Temp.
°C]],Curva_Temp[Temp]))</f>
        <v>15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20</v>
      </c>
      <c r="AB93" s="41" cm="1">
        <f t="array" ref="AB93">INDEX(Curva_Temp[Warranted Power Curve for 
1.194Kg/m3 air density '[kW']
SG 5.0-145 (AM 0, 5.0MW) AT 
90M],MATCH(TBL_CalcDarwin[[#This Row],[Darwin Temp.
°C]],Curva_Temp[Temp])+1)</f>
        <v>5000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93" s="29">
        <f>TBL_CalcDarwin[[#This Row],[Expansión - Barra B - 5.2 - Cerro]]*TBL_CalcDarwin[[#This Row],[AEG 5.2 MW Cerro]]</f>
        <v>0.38200000000000001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45447.833333333117</v>
      </c>
      <c r="C94" s="17">
        <f t="shared" si="8"/>
        <v>3.8333333333333282</v>
      </c>
      <c r="D94" s="34">
        <f>TBL_CalcDarwin[[#This Row],[Darwin PLOM
MW]]+TBL_CalcDarwin[[#This Row],[Darwin PLOME
MW]]</f>
        <v>51.224000000000004</v>
      </c>
      <c r="E94" s="34">
        <f>TBL_CalcDarwin[[#This Row],[PLOM MW TOTAL BARRA A]]+TBL_CalcDarwin[[#This Row],[PLOM MW TOTAL BARRA B]]</f>
        <v>49.715000000000003</v>
      </c>
      <c r="F94" s="34">
        <f>TBL_CalcDarwin[[#This Row],[PLOME MW TOTAL BARRA A]]+TBL_CalcDarwin[[#This Row],[PLOME MW TOTAL BARRA B]]</f>
        <v>1.5089999999999999</v>
      </c>
      <c r="G94" s="48">
        <f>'Plantilla Datos'!D99</f>
        <v>4.8</v>
      </c>
      <c r="H94" s="48">
        <f>'Plantilla Datos'!E99</f>
        <v>6.2</v>
      </c>
      <c r="I94" s="49">
        <f>'Plantilla Datos'!F99</f>
        <v>17.600000000000001</v>
      </c>
      <c r="J94" s="47">
        <f>CEILING('Plantilla Datos'!$L$3*TBL_CalcDarwin[[#This Row],[Darwin Gusts
m/s]],0.5)</f>
        <v>4.5</v>
      </c>
      <c r="K94" s="47">
        <f>CEILING('Plantilla Datos'!$L$4*TBL_CalcDarwin[[#This Row],[Darwin Gusts
m/s]],0.5)</f>
        <v>5.5</v>
      </c>
      <c r="L94" s="47">
        <f>CEILING(TBL_CalcDarwin[[#This Row],[Darwin Gusts
m/s]],0.5)</f>
        <v>6.5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94" s="41">
        <f>INDEX(Curva_Temp[Temp],MATCH(TBL_CalcDarwin[[#This Row],[Darwin Temp.
°C]],Curva_Temp[Temp]))</f>
        <v>15</v>
      </c>
      <c r="R94" s="41">
        <f>INDEX(Curva_Temp[Warranted Power Curve for 
1.194Kg/m3 air density '[kW']
SG 5.0-145 (AM+1, 5.2MW) AT 
90M],MATCH(TBL_CalcDarwin[[#This Row],[Darwin Temp.
°C]],Curva_Temp[Temp]))</f>
        <v>5200</v>
      </c>
      <c r="S94" s="41" cm="1">
        <f t="array" ref="S94">INDEX(Curva_Temp[Temp],MATCH(TBL_CalcDarwin[[#This Row],[Darwin Temp.
°C]],Curva_Temp[Temp])+1)</f>
        <v>20</v>
      </c>
      <c r="T94" s="41" cm="1">
        <f t="array" ref="T94">INDEX(Curva_Temp[Warranted Power Curve for 
1.194Kg/m3 air density '[kW']
SG 5.0-145 (AM+1, 5.2MW) AT 
90M],MATCH(TBL_CalcDarwin[[#This Row],[Darwin Temp.
°C]],Curva_Temp[Temp])+1)</f>
        <v>5000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94" s="41">
        <f>INDEX(Curva_Temp[Temp],MATCH(TBL_CalcDarwin[[#This Row],[Darwin Temp.
°C]],Curva_Temp[Temp]))</f>
        <v>15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20</v>
      </c>
      <c r="AB94" s="41" cm="1">
        <f t="array" ref="AB94">INDEX(Curva_Temp[Warranted Power Curve for 
1.194Kg/m3 air density '[kW']
SG 5.0-145 (AM 0, 5.0MW) AT 
90M],MATCH(TBL_CalcDarwin[[#This Row],[Darwin Temp.
°C]],Curva_Temp[Temp])+1)</f>
        <v>5000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94" s="29">
        <f>TBL_CalcDarwin[[#This Row],[Expansión - Barra B - 5.2 - Cerro]]*TBL_CalcDarwin[[#This Row],[AEG 5.2 MW Cerro]]</f>
        <v>0.38200000000000001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45447.874999999782</v>
      </c>
      <c r="C95" s="17">
        <f>C94+TIME(1,0,0)</f>
        <v>3.8749999999999947</v>
      </c>
      <c r="D95" s="34">
        <f>TBL_CalcDarwin[[#This Row],[Darwin PLOM
MW]]+TBL_CalcDarwin[[#This Row],[Darwin PLOME
MW]]</f>
        <v>55.402999999999992</v>
      </c>
      <c r="E95" s="34">
        <f>TBL_CalcDarwin[[#This Row],[PLOM MW TOTAL BARRA A]]+TBL_CalcDarwin[[#This Row],[PLOM MW TOTAL BARRA B]]</f>
        <v>53.325999999999993</v>
      </c>
      <c r="F95" s="34">
        <f>TBL_CalcDarwin[[#This Row],[PLOME MW TOTAL BARRA A]]+TBL_CalcDarwin[[#This Row],[PLOME MW TOTAL BARRA B]]</f>
        <v>2.077</v>
      </c>
      <c r="G95" s="48">
        <f>'Plantilla Datos'!D100</f>
        <v>5.0999999999999996</v>
      </c>
      <c r="H95" s="48">
        <f>'Plantilla Datos'!E100</f>
        <v>6.5</v>
      </c>
      <c r="I95" s="49">
        <f>'Plantilla Datos'!F100</f>
        <v>17.7</v>
      </c>
      <c r="J95" s="47">
        <f>CEILING('Plantilla Datos'!$L$3*TBL_CalcDarwin[[#This Row],[Darwin Gusts
m/s]],0.5)</f>
        <v>5</v>
      </c>
      <c r="K95" s="47">
        <f>CEILING('Plantilla Datos'!$L$4*TBL_CalcDarwin[[#This Row],[Darwin Gusts
m/s]],0.5)</f>
        <v>6</v>
      </c>
      <c r="L95" s="47">
        <f>CEILING(TBL_CalcDarwin[[#This Row],[Darwin Gusts
m/s]],0.5)</f>
        <v>6.5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95" s="41">
        <f>INDEX(Curva_Temp[Temp],MATCH(TBL_CalcDarwin[[#This Row],[Darwin Temp.
°C]],Curva_Temp[Temp]))</f>
        <v>15</v>
      </c>
      <c r="R95" s="41">
        <f>INDEX(Curva_Temp[Warranted Power Curve for 
1.194Kg/m3 air density '[kW']
SG 5.0-145 (AM+1, 5.2MW) AT 
90M],MATCH(TBL_CalcDarwin[[#This Row],[Darwin Temp.
°C]],Curva_Temp[Temp]))</f>
        <v>5200</v>
      </c>
      <c r="S95" s="41" cm="1">
        <f t="array" ref="S95">INDEX(Curva_Temp[Temp],MATCH(TBL_CalcDarwin[[#This Row],[Darwin Temp.
°C]],Curva_Temp[Temp])+1)</f>
        <v>20</v>
      </c>
      <c r="T95" s="41" cm="1">
        <f t="array" ref="T95">INDEX(Curva_Temp[Warranted Power Curve for 
1.194Kg/m3 air density '[kW']
SG 5.0-145 (AM+1, 5.2MW) AT 
90M],MATCH(TBL_CalcDarwin[[#This Row],[Darwin Temp.
°C]],Curva_Temp[Temp])+1)</f>
        <v>5000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95" s="41">
        <f>INDEX(Curva_Temp[Temp],MATCH(TBL_CalcDarwin[[#This Row],[Darwin Temp.
°C]],Curva_Temp[Temp]))</f>
        <v>15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20</v>
      </c>
      <c r="AB95" s="41" cm="1">
        <f t="array" ref="AB95">INDEX(Curva_Temp[Warranted Power Curve for 
1.194Kg/m3 air density '[kW']
SG 5.0-145 (AM 0, 5.0MW) AT 
90M],MATCH(TBL_CalcDarwin[[#This Row],[Darwin Temp.
°C]],Curva_Temp[Temp])+1)</f>
        <v>5000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25.791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95" s="29">
        <f>TBL_CalcDarwin[[#This Row],[Expansión - Barra B - 5.2 - Cerro]]*TBL_CalcDarwin[[#This Row],[AEG 5.2 MW Cerro]]</f>
        <v>0.54700000000000004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45447.916666666446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65.656999999999996</v>
      </c>
      <c r="E96" s="34">
        <f>TBL_CalcDarwin[[#This Row],[PLOM MW TOTAL BARRA A]]+TBL_CalcDarwin[[#This Row],[PLOM MW TOTAL BARRA B]]</f>
        <v>63.58</v>
      </c>
      <c r="F96" s="34">
        <f>TBL_CalcDarwin[[#This Row],[PLOME MW TOTAL BARRA A]]+TBL_CalcDarwin[[#This Row],[PLOME MW TOTAL BARRA B]]</f>
        <v>2.077</v>
      </c>
      <c r="G96" s="48">
        <f>'Plantilla Datos'!D101</f>
        <v>5.3</v>
      </c>
      <c r="H96" s="48">
        <f>'Plantilla Datos'!E101</f>
        <v>6.8</v>
      </c>
      <c r="I96" s="49">
        <f>'Plantilla Datos'!F101</f>
        <v>17.899999999999999</v>
      </c>
      <c r="J96" s="47">
        <f>CEILING('Plantilla Datos'!$L$3*TBL_CalcDarwin[[#This Row],[Darwin Gusts
m/s]],0.5)</f>
        <v>5</v>
      </c>
      <c r="K96" s="47">
        <f>CEILING('Plantilla Datos'!$L$4*TBL_CalcDarwin[[#This Row],[Darwin Gusts
m/s]],0.5)</f>
        <v>6</v>
      </c>
      <c r="L96" s="47">
        <f>CEILING(TBL_CalcDarwin[[#This Row],[Darwin Gusts
m/s]],0.5)</f>
        <v>7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96" s="41">
        <f>INDEX(Curva_Temp[Temp],MATCH(TBL_CalcDarwin[[#This Row],[Darwin Temp.
°C]],Curva_Temp[Temp]))</f>
        <v>15</v>
      </c>
      <c r="R96" s="41">
        <f>INDEX(Curva_Temp[Warranted Power Curve for 
1.194Kg/m3 air density '[kW']
SG 5.0-145 (AM+1, 5.2MW) AT 
90M],MATCH(TBL_CalcDarwin[[#This Row],[Darwin Temp.
°C]],Curva_Temp[Temp]))</f>
        <v>5200</v>
      </c>
      <c r="S96" s="41" cm="1">
        <f t="array" ref="S96">INDEX(Curva_Temp[Temp],MATCH(TBL_CalcDarwin[[#This Row],[Darwin Temp.
°C]],Curva_Temp[Temp])+1)</f>
        <v>20</v>
      </c>
      <c r="T96" s="41" cm="1">
        <f t="array" ref="T96">INDEX(Curva_Temp[Warranted Power Curve for 
1.194Kg/m3 air density '[kW']
SG 5.0-145 (AM+1, 5.2MW) AT 
90M],MATCH(TBL_CalcDarwin[[#This Row],[Darwin Temp.
°C]],Curva_Temp[Temp])+1)</f>
        <v>5000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96" s="41">
        <f>INDEX(Curva_Temp[Temp],MATCH(TBL_CalcDarwin[[#This Row],[Darwin Temp.
°C]],Curva_Temp[Temp]))</f>
        <v>15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20</v>
      </c>
      <c r="AB96" s="41" cm="1">
        <f t="array" ref="AB96">INDEX(Curva_Temp[Warranted Power Curve for 
1.194Kg/m3 air density '[kW']
SG 5.0-145 (AM 0, 5.0MW) AT 
90M],MATCH(TBL_CalcDarwin[[#This Row],[Darwin Temp.
°C]],Curva_Temp[Temp])+1)</f>
        <v>5000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96" s="29">
        <f>TBL_CalcDarwin[[#This Row],[Expansión - Barra B - 5.2 - Cerro]]*TBL_CalcDarwin[[#This Row],[AEG 5.2 MW Cerro]]</f>
        <v>0.54700000000000004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45447.95833333311</v>
      </c>
      <c r="C97" s="17">
        <f t="shared" si="9"/>
        <v>3.9583333333333277</v>
      </c>
      <c r="D97" s="34">
        <f>TBL_CalcDarwin[[#This Row],[Darwin PLOM
MW]]+TBL_CalcDarwin[[#This Row],[Darwin PLOME
MW]]</f>
        <v>52.546999999999997</v>
      </c>
      <c r="E97" s="34">
        <f>TBL_CalcDarwin[[#This Row],[PLOM MW TOTAL BARRA A]]+TBL_CalcDarwin[[#This Row],[PLOM MW TOTAL BARRA B]]</f>
        <v>50.707999999999998</v>
      </c>
      <c r="F97" s="34">
        <f>TBL_CalcDarwin[[#This Row],[PLOME MW TOTAL BARRA A]]+TBL_CalcDarwin[[#This Row],[PLOME MW TOTAL BARRA B]]</f>
        <v>1.839</v>
      </c>
      <c r="G97" s="48">
        <f>'Plantilla Datos'!D102</f>
        <v>5</v>
      </c>
      <c r="H97" s="48">
        <f>'Plantilla Datos'!E102</f>
        <v>6.4</v>
      </c>
      <c r="I97" s="49">
        <f>'Plantilla Datos'!F102</f>
        <v>17.7</v>
      </c>
      <c r="J97" s="47">
        <f>CEILING('Plantilla Datos'!$L$3*TBL_CalcDarwin[[#This Row],[Darwin Gusts
m/s]],0.5)</f>
        <v>5</v>
      </c>
      <c r="K97" s="47">
        <f>CEILING('Plantilla Datos'!$L$4*TBL_CalcDarwin[[#This Row],[Darwin Gusts
m/s]],0.5)</f>
        <v>5.5</v>
      </c>
      <c r="L97" s="47">
        <f>CEILING(TBL_CalcDarwin[[#This Row],[Darwin Gusts
m/s]],0.5)</f>
        <v>6.5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97" s="41">
        <f>INDEX(Curva_Temp[Temp],MATCH(TBL_CalcDarwin[[#This Row],[Darwin Temp.
°C]],Curva_Temp[Temp]))</f>
        <v>15</v>
      </c>
      <c r="R97" s="41">
        <f>INDEX(Curva_Temp[Warranted Power Curve for 
1.194Kg/m3 air density '[kW']
SG 5.0-145 (AM+1, 5.2MW) AT 
90M],MATCH(TBL_CalcDarwin[[#This Row],[Darwin Temp.
°C]],Curva_Temp[Temp]))</f>
        <v>5200</v>
      </c>
      <c r="S97" s="41" cm="1">
        <f t="array" ref="S97">INDEX(Curva_Temp[Temp],MATCH(TBL_CalcDarwin[[#This Row],[Darwin Temp.
°C]],Curva_Temp[Temp])+1)</f>
        <v>20</v>
      </c>
      <c r="T97" s="41" cm="1">
        <f t="array" ref="T97">INDEX(Curva_Temp[Warranted Power Curve for 
1.194Kg/m3 air density '[kW']
SG 5.0-145 (AM+1, 5.2MW) AT 
90M],MATCH(TBL_CalcDarwin[[#This Row],[Darwin Temp.
°C]],Curva_Temp[Temp])+1)</f>
        <v>5000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97" s="41">
        <f>INDEX(Curva_Temp[Temp],MATCH(TBL_CalcDarwin[[#This Row],[Darwin Temp.
°C]],Curva_Temp[Temp]))</f>
        <v>15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20</v>
      </c>
      <c r="AB97" s="41" cm="1">
        <f t="array" ref="AB97">INDEX(Curva_Temp[Warranted Power Curve for 
1.194Kg/m3 air density '[kW']
SG 5.0-145 (AM 0, 5.0MW) AT 
90M],MATCH(TBL_CalcDarwin[[#This Row],[Darwin Temp.
°C]],Curva_Temp[Temp])+1)</f>
        <v>5000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97" s="29">
        <f>TBL_CalcDarwin[[#This Row],[Expansión - Barra B - 5.2 - Cerro]]*TBL_CalcDarwin[[#This Row],[AEG 5.2 MW Cerro]]</f>
        <v>0.54700000000000004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45447.999999999774</v>
      </c>
      <c r="C98" s="17">
        <f t="shared" si="9"/>
        <v>3.9999999999999942</v>
      </c>
      <c r="D98" s="34">
        <f>TBL_CalcDarwin[[#This Row],[Darwin PLOM
MW]]+TBL_CalcDarwin[[#This Row],[Darwin PLOME
MW]]</f>
        <v>40.722999999999999</v>
      </c>
      <c r="E98" s="34">
        <f>TBL_CalcDarwin[[#This Row],[PLOM MW TOTAL BARRA A]]+TBL_CalcDarwin[[#This Row],[PLOM MW TOTAL BARRA B]]</f>
        <v>39.213999999999999</v>
      </c>
      <c r="F98" s="34">
        <f>TBL_CalcDarwin[[#This Row],[PLOME MW TOTAL BARRA A]]+TBL_CalcDarwin[[#This Row],[PLOME MW TOTAL BARRA B]]</f>
        <v>1.5089999999999999</v>
      </c>
      <c r="G98" s="48">
        <f>'Plantilla Datos'!D103</f>
        <v>4.5999999999999996</v>
      </c>
      <c r="H98" s="48">
        <f>'Plantilla Datos'!E103</f>
        <v>5.9</v>
      </c>
      <c r="I98" s="49">
        <f>'Plantilla Datos'!F103</f>
        <v>17.5</v>
      </c>
      <c r="J98" s="47">
        <f>CEILING('Plantilla Datos'!$L$3*TBL_CalcDarwin[[#This Row],[Darwin Gusts
m/s]],0.5)</f>
        <v>4.5</v>
      </c>
      <c r="K98" s="47">
        <f>CEILING('Plantilla Datos'!$L$4*TBL_CalcDarwin[[#This Row],[Darwin Gusts
m/s]],0.5)</f>
        <v>5.5</v>
      </c>
      <c r="L98" s="47">
        <f>CEILING(TBL_CalcDarwin[[#This Row],[Darwin Gusts
m/s]],0.5)</f>
        <v>6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98" s="41">
        <f>INDEX(Curva_Temp[Temp],MATCH(TBL_CalcDarwin[[#This Row],[Darwin Temp.
°C]],Curva_Temp[Temp]))</f>
        <v>15</v>
      </c>
      <c r="R98" s="41">
        <f>INDEX(Curva_Temp[Warranted Power Curve for 
1.194Kg/m3 air density '[kW']
SG 5.0-145 (AM+1, 5.2MW) AT 
90M],MATCH(TBL_CalcDarwin[[#This Row],[Darwin Temp.
°C]],Curva_Temp[Temp]))</f>
        <v>5200</v>
      </c>
      <c r="S98" s="41" cm="1">
        <f t="array" ref="S98">INDEX(Curva_Temp[Temp],MATCH(TBL_CalcDarwin[[#This Row],[Darwin Temp.
°C]],Curva_Temp[Temp])+1)</f>
        <v>20</v>
      </c>
      <c r="T98" s="41" cm="1">
        <f t="array" ref="T98">INDEX(Curva_Temp[Warranted Power Curve for 
1.194Kg/m3 air density '[kW']
SG 5.0-145 (AM+1, 5.2MW) AT 
90M],MATCH(TBL_CalcDarwin[[#This Row],[Darwin Temp.
°C]],Curva_Temp[Temp])+1)</f>
        <v>5000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98" s="41">
        <f>INDEX(Curva_Temp[Temp],MATCH(TBL_CalcDarwin[[#This Row],[Darwin Temp.
°C]],Curva_Temp[Temp]))</f>
        <v>15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20</v>
      </c>
      <c r="AB98" s="41" cm="1">
        <f t="array" ref="AB98">INDEX(Curva_Temp[Warranted Power Curve for 
1.194Kg/m3 air density '[kW']
SG 5.0-145 (AM 0, 5.0MW) AT 
90M],MATCH(TBL_CalcDarwin[[#This Row],[Darwin Temp.
°C]],Curva_Temp[Temp])+1)</f>
        <v>5000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98" s="29">
        <f>TBL_CalcDarwin[[#This Row],[Expansión - Barra B - 5.2 - Cerro]]*TBL_CalcDarwin[[#This Row],[AEG 5.2 MW Cerro]]</f>
        <v>0.38200000000000001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45448.041666666439</v>
      </c>
      <c r="C99" s="17">
        <f t="shared" si="9"/>
        <v>4.0416666666666607</v>
      </c>
      <c r="D99" s="34">
        <f>TBL_CalcDarwin[[#This Row],[Darwin PLOM
MW]]+TBL_CalcDarwin[[#This Row],[Darwin PLOME
MW]]</f>
        <v>30.28</v>
      </c>
      <c r="E99" s="34">
        <f>TBL_CalcDarwin[[#This Row],[PLOM MW TOTAL BARRA A]]+TBL_CalcDarwin[[#This Row],[PLOM MW TOTAL BARRA B]]</f>
        <v>29.245000000000001</v>
      </c>
      <c r="F99" s="34">
        <f>TBL_CalcDarwin[[#This Row],[PLOME MW TOTAL BARRA A]]+TBL_CalcDarwin[[#This Row],[PLOME MW TOTAL BARRA B]]</f>
        <v>1.0350000000000001</v>
      </c>
      <c r="G99" s="48">
        <f>'Plantilla Datos'!D104</f>
        <v>4.2</v>
      </c>
      <c r="H99" s="48">
        <f>'Plantilla Datos'!E104</f>
        <v>5.5</v>
      </c>
      <c r="I99" s="49">
        <f>'Plantilla Datos'!F104</f>
        <v>17.399999999999999</v>
      </c>
      <c r="J99" s="47">
        <f>CEILING('Plantilla Datos'!$L$3*TBL_CalcDarwin[[#This Row],[Darwin Gusts
m/s]],0.5)</f>
        <v>4</v>
      </c>
      <c r="K99" s="47">
        <f>CEILING('Plantilla Datos'!$L$4*TBL_CalcDarwin[[#This Row],[Darwin Gusts
m/s]],0.5)</f>
        <v>5</v>
      </c>
      <c r="L99" s="47">
        <f>CEILING(TBL_CalcDarwin[[#This Row],[Darwin Gusts
m/s]],0.5)</f>
        <v>5.5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99" s="41">
        <f>INDEX(Curva_Temp[Temp],MATCH(TBL_CalcDarwin[[#This Row],[Darwin Temp.
°C]],Curva_Temp[Temp]))</f>
        <v>15</v>
      </c>
      <c r="R99" s="41">
        <f>INDEX(Curva_Temp[Warranted Power Curve for 
1.194Kg/m3 air density '[kW']
SG 5.0-145 (AM+1, 5.2MW) AT 
90M],MATCH(TBL_CalcDarwin[[#This Row],[Darwin Temp.
°C]],Curva_Temp[Temp]))</f>
        <v>5200</v>
      </c>
      <c r="S99" s="41" cm="1">
        <f t="array" ref="S99">INDEX(Curva_Temp[Temp],MATCH(TBL_CalcDarwin[[#This Row],[Darwin Temp.
°C]],Curva_Temp[Temp])+1)</f>
        <v>20</v>
      </c>
      <c r="T99" s="41" cm="1">
        <f t="array" ref="T99">INDEX(Curva_Temp[Warranted Power Curve for 
1.194Kg/m3 air density '[kW']
SG 5.0-145 (AM+1, 5.2MW) AT 
90M],MATCH(TBL_CalcDarwin[[#This Row],[Darwin Temp.
°C]],Curva_Temp[Temp])+1)</f>
        <v>5000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99" s="41">
        <f>INDEX(Curva_Temp[Temp],MATCH(TBL_CalcDarwin[[#This Row],[Darwin Temp.
°C]],Curva_Temp[Temp]))</f>
        <v>15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20</v>
      </c>
      <c r="AB99" s="41" cm="1">
        <f t="array" ref="AB99">INDEX(Curva_Temp[Warranted Power Curve for 
1.194Kg/m3 air density '[kW']
SG 5.0-145 (AM 0, 5.0MW) AT 
90M],MATCH(TBL_CalcDarwin[[#This Row],[Darwin Temp.
°C]],Curva_Temp[Temp])+1)</f>
        <v>5000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99" s="29">
        <f>TBL_CalcDarwin[[#This Row],[Expansión - Barra B - 5.2 - Cerro]]*TBL_CalcDarwin[[#This Row],[AEG 5.2 MW Cerro]]</f>
        <v>0.24399999999999999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45448.083333333103</v>
      </c>
      <c r="C100" s="17">
        <f t="shared" si="9"/>
        <v>4.0833333333333277</v>
      </c>
      <c r="D100" s="34">
        <f>TBL_CalcDarwin[[#This Row],[Darwin PLOM
MW]]+TBL_CalcDarwin[[#This Row],[Darwin PLOME
MW]]</f>
        <v>30.28</v>
      </c>
      <c r="E100" s="34">
        <f>TBL_CalcDarwin[[#This Row],[PLOM MW TOTAL BARRA A]]+TBL_CalcDarwin[[#This Row],[PLOM MW TOTAL BARRA B]]</f>
        <v>29.245000000000001</v>
      </c>
      <c r="F100" s="34">
        <f>TBL_CalcDarwin[[#This Row],[PLOME MW TOTAL BARRA A]]+TBL_CalcDarwin[[#This Row],[PLOME MW TOTAL BARRA B]]</f>
        <v>1.0350000000000001</v>
      </c>
      <c r="G100" s="48">
        <f>'Plantilla Datos'!D105</f>
        <v>4.0999999999999996</v>
      </c>
      <c r="H100" s="48">
        <f>'Plantilla Datos'!E105</f>
        <v>5.3</v>
      </c>
      <c r="I100" s="49">
        <f>'Plantilla Datos'!F105</f>
        <v>17.100000000000001</v>
      </c>
      <c r="J100" s="47">
        <f>CEILING('Plantilla Datos'!$L$3*TBL_CalcDarwin[[#This Row],[Darwin Gusts
m/s]],0.5)</f>
        <v>4</v>
      </c>
      <c r="K100" s="47">
        <f>CEILING('Plantilla Datos'!$L$4*TBL_CalcDarwin[[#This Row],[Darwin Gusts
m/s]],0.5)</f>
        <v>5</v>
      </c>
      <c r="L100" s="47">
        <f>CEILING(TBL_CalcDarwin[[#This Row],[Darwin Gusts
m/s]],0.5)</f>
        <v>5.5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00" s="41">
        <f>INDEX(Curva_Temp[Temp],MATCH(TBL_CalcDarwin[[#This Row],[Darwin Temp.
°C]],Curva_Temp[Temp]))</f>
        <v>15</v>
      </c>
      <c r="R100" s="41">
        <f>INDEX(Curva_Temp[Warranted Power Curve for 
1.194Kg/m3 air density '[kW']
SG 5.0-145 (AM+1, 5.2MW) AT 
90M],MATCH(TBL_CalcDarwin[[#This Row],[Darwin Temp.
°C]],Curva_Temp[Temp]))</f>
        <v>5200</v>
      </c>
      <c r="S100" s="41" cm="1">
        <f t="array" ref="S100">INDEX(Curva_Temp[Temp],MATCH(TBL_CalcDarwin[[#This Row],[Darwin Temp.
°C]],Curva_Temp[Temp])+1)</f>
        <v>20</v>
      </c>
      <c r="T100" s="41" cm="1">
        <f t="array" ref="T100">INDEX(Curva_Temp[Warranted Power Curve for 
1.194Kg/m3 air density '[kW']
SG 5.0-145 (AM+1, 5.2MW) AT 
90M],MATCH(TBL_CalcDarwin[[#This Row],[Darwin Temp.
°C]],Curva_Temp[Temp])+1)</f>
        <v>5000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00" s="41">
        <f>INDEX(Curva_Temp[Temp],MATCH(TBL_CalcDarwin[[#This Row],[Darwin Temp.
°C]],Curva_Temp[Temp]))</f>
        <v>15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20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5000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00" s="29">
        <f>TBL_CalcDarwin[[#This Row],[Expansión - Barra B - 5.2 - Cerro]]*TBL_CalcDarwin[[#This Row],[AEG 5.2 MW Cerro]]</f>
        <v>0.24399999999999999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45448.124999999767</v>
      </c>
      <c r="C101" s="17">
        <f>C100+TIME(1,0,0)</f>
        <v>4.1249999999999947</v>
      </c>
      <c r="D101" s="34">
        <f>TBL_CalcDarwin[[#This Row],[Darwin PLOM
MW]]+TBL_CalcDarwin[[#This Row],[Darwin PLOME
MW]]</f>
        <v>28.465</v>
      </c>
      <c r="E101" s="34">
        <f>TBL_CalcDarwin[[#This Row],[PLOM MW TOTAL BARRA A]]+TBL_CalcDarwin[[#This Row],[PLOM MW TOTAL BARRA B]]</f>
        <v>27.594999999999999</v>
      </c>
      <c r="F101" s="34">
        <f>TBL_CalcDarwin[[#This Row],[PLOME MW TOTAL BARRA A]]+TBL_CalcDarwin[[#This Row],[PLOME MW TOTAL BARRA B]]</f>
        <v>0.87</v>
      </c>
      <c r="G101" s="48">
        <f>'Plantilla Datos'!D106</f>
        <v>3.9</v>
      </c>
      <c r="H101" s="48">
        <f>'Plantilla Datos'!E106</f>
        <v>5.0999999999999996</v>
      </c>
      <c r="I101" s="49">
        <f>'Plantilla Datos'!F106</f>
        <v>16.8</v>
      </c>
      <c r="J101" s="47">
        <f>CEILING('Plantilla Datos'!$L$3*TBL_CalcDarwin[[#This Row],[Darwin Gusts
m/s]],0.5)</f>
        <v>4</v>
      </c>
      <c r="K101" s="47">
        <f>CEILING('Plantilla Datos'!$L$4*TBL_CalcDarwin[[#This Row],[Darwin Gusts
m/s]],0.5)</f>
        <v>4.5</v>
      </c>
      <c r="L101" s="47">
        <f>CEILING(TBL_CalcDarwin[[#This Row],[Darwin Gusts
m/s]],0.5)</f>
        <v>5.5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01" s="41">
        <f>INDEX(Curva_Temp[Temp],MATCH(TBL_CalcDarwin[[#This Row],[Darwin Temp.
°C]],Curva_Temp[Temp]))</f>
        <v>15</v>
      </c>
      <c r="R101" s="41">
        <f>INDEX(Curva_Temp[Warranted Power Curve for 
1.194Kg/m3 air density '[kW']
SG 5.0-145 (AM+1, 5.2MW) AT 
90M],MATCH(TBL_CalcDarwin[[#This Row],[Darwin Temp.
°C]],Curva_Temp[Temp]))</f>
        <v>5200</v>
      </c>
      <c r="S101" s="41" cm="1">
        <f t="array" ref="S101">INDEX(Curva_Temp[Temp],MATCH(TBL_CalcDarwin[[#This Row],[Darwin Temp.
°C]],Curva_Temp[Temp])+1)</f>
        <v>20</v>
      </c>
      <c r="T101" s="41" cm="1">
        <f t="array" ref="T101">INDEX(Curva_Temp[Warranted Power Curve for 
1.194Kg/m3 air density '[kW']
SG 5.0-145 (AM+1, 5.2MW) AT 
90M],MATCH(TBL_CalcDarwin[[#This Row],[Darwin Temp.
°C]],Curva_Temp[Temp])+1)</f>
        <v>5000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01" s="41">
        <f>INDEX(Curva_Temp[Temp],MATCH(TBL_CalcDarwin[[#This Row],[Darwin Temp.
°C]],Curva_Temp[Temp]))</f>
        <v>15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20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5000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01" s="29">
        <f>TBL_CalcDarwin[[#This Row],[Expansión - Barra B - 5.2 - Cerro]]*TBL_CalcDarwin[[#This Row],[AEG 5.2 MW Cerro]]</f>
        <v>0.24399999999999999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45448.166666666431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22.497000000000003</v>
      </c>
      <c r="E102" s="34">
        <f>TBL_CalcDarwin[[#This Row],[PLOM MW TOTAL BARRA A]]+TBL_CalcDarwin[[#This Row],[PLOM MW TOTAL BARRA B]]</f>
        <v>21.627000000000002</v>
      </c>
      <c r="F102" s="34">
        <f>TBL_CalcDarwin[[#This Row],[PLOME MW TOTAL BARRA A]]+TBL_CalcDarwin[[#This Row],[PLOME MW TOTAL BARRA B]]</f>
        <v>0.87</v>
      </c>
      <c r="G102" s="48">
        <f>'Plantilla Datos'!D107</f>
        <v>3.8</v>
      </c>
      <c r="H102" s="48">
        <f>'Plantilla Datos'!E107</f>
        <v>4.9000000000000004</v>
      </c>
      <c r="I102" s="49">
        <f>'Plantilla Datos'!F107</f>
        <v>16.5</v>
      </c>
      <c r="J102" s="47">
        <f>CEILING('Plantilla Datos'!$L$3*TBL_CalcDarwin[[#This Row],[Darwin Gusts
m/s]],0.5)</f>
        <v>4</v>
      </c>
      <c r="K102" s="47">
        <f>CEILING('Plantilla Datos'!$L$4*TBL_CalcDarwin[[#This Row],[Darwin Gusts
m/s]],0.5)</f>
        <v>4.5</v>
      </c>
      <c r="L102" s="47">
        <f>CEILING(TBL_CalcDarwin[[#This Row],[Darwin Gusts
m/s]],0.5)</f>
        <v>5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02" s="41">
        <f>INDEX(Curva_Temp[Temp],MATCH(TBL_CalcDarwin[[#This Row],[Darwin Temp.
°C]],Curva_Temp[Temp]))</f>
        <v>15</v>
      </c>
      <c r="R102" s="41">
        <f>INDEX(Curva_Temp[Warranted Power Curve for 
1.194Kg/m3 air density '[kW']
SG 5.0-145 (AM+1, 5.2MW) AT 
90M],MATCH(TBL_CalcDarwin[[#This Row],[Darwin Temp.
°C]],Curva_Temp[Temp]))</f>
        <v>5200</v>
      </c>
      <c r="S102" s="41" cm="1">
        <f t="array" ref="S102">INDEX(Curva_Temp[Temp],MATCH(TBL_CalcDarwin[[#This Row],[Darwin Temp.
°C]],Curva_Temp[Temp])+1)</f>
        <v>20</v>
      </c>
      <c r="T102" s="41" cm="1">
        <f t="array" ref="T102">INDEX(Curva_Temp[Warranted Power Curve for 
1.194Kg/m3 air density '[kW']
SG 5.0-145 (AM+1, 5.2MW) AT 
90M],MATCH(TBL_CalcDarwin[[#This Row],[Darwin Temp.
°C]],Curva_Temp[Temp])+1)</f>
        <v>5000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02" s="41">
        <f>INDEX(Curva_Temp[Temp],MATCH(TBL_CalcDarwin[[#This Row],[Darwin Temp.
°C]],Curva_Temp[Temp]))</f>
        <v>15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20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5000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02" s="29">
        <f>TBL_CalcDarwin[[#This Row],[Expansión - Barra B - 5.2 - Cerro]]*TBL_CalcDarwin[[#This Row],[AEG 5.2 MW Cerro]]</f>
        <v>0.24399999999999999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45448.208333333096</v>
      </c>
      <c r="C103" s="17">
        <f t="shared" si="10"/>
        <v>4.2083333333333286</v>
      </c>
      <c r="D103" s="34">
        <f>TBL_CalcDarwin[[#This Row],[Darwin PLOM
MW]]+TBL_CalcDarwin[[#This Row],[Darwin PLOME
MW]]</f>
        <v>9.1110000000000007</v>
      </c>
      <c r="E103" s="34">
        <f>TBL_CalcDarwin[[#This Row],[PLOM MW TOTAL BARRA A]]+TBL_CalcDarwin[[#This Row],[PLOM MW TOTAL BARRA B]]</f>
        <v>8.8710000000000004</v>
      </c>
      <c r="F103" s="34">
        <f>TBL_CalcDarwin[[#This Row],[PLOME MW TOTAL BARRA A]]+TBL_CalcDarwin[[#This Row],[PLOME MW TOTAL BARRA B]]</f>
        <v>0.24</v>
      </c>
      <c r="G103" s="48">
        <f>'Plantilla Datos'!D108</f>
        <v>2.8</v>
      </c>
      <c r="H103" s="48">
        <f>'Plantilla Datos'!E108</f>
        <v>3.8</v>
      </c>
      <c r="I103" s="49">
        <f>'Plantilla Datos'!F108</f>
        <v>16.3</v>
      </c>
      <c r="J103" s="47">
        <f>CEILING('Plantilla Datos'!$L$3*TBL_CalcDarwin[[#This Row],[Darwin Gusts
m/s]],0.5)</f>
        <v>3</v>
      </c>
      <c r="K103" s="47">
        <f>CEILING('Plantilla Datos'!$L$4*TBL_CalcDarwin[[#This Row],[Darwin Gusts
m/s]],0.5)</f>
        <v>3.5</v>
      </c>
      <c r="L103" s="47">
        <f>CEILING(TBL_CalcDarwin[[#This Row],[Darwin Gusts
m/s]],0.5)</f>
        <v>4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03" s="41">
        <f>INDEX(Curva_Temp[Temp],MATCH(TBL_CalcDarwin[[#This Row],[Darwin Temp.
°C]],Curva_Temp[Temp]))</f>
        <v>15</v>
      </c>
      <c r="R103" s="41">
        <f>INDEX(Curva_Temp[Warranted Power Curve for 
1.194Kg/m3 air density '[kW']
SG 5.0-145 (AM+1, 5.2MW) AT 
90M],MATCH(TBL_CalcDarwin[[#This Row],[Darwin Temp.
°C]],Curva_Temp[Temp]))</f>
        <v>5200</v>
      </c>
      <c r="S103" s="41" cm="1">
        <f t="array" ref="S103">INDEX(Curva_Temp[Temp],MATCH(TBL_CalcDarwin[[#This Row],[Darwin Temp.
°C]],Curva_Temp[Temp])+1)</f>
        <v>20</v>
      </c>
      <c r="T103" s="41" cm="1">
        <f t="array" ref="T103">INDEX(Curva_Temp[Warranted Power Curve for 
1.194Kg/m3 air density '[kW']
SG 5.0-145 (AM+1, 5.2MW) AT 
90M],MATCH(TBL_CalcDarwin[[#This Row],[Darwin Temp.
°C]],Curva_Temp[Temp])+1)</f>
        <v>5000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03" s="41">
        <f>INDEX(Curva_Temp[Temp],MATCH(TBL_CalcDarwin[[#This Row],[Darwin Temp.
°C]],Curva_Temp[Temp]))</f>
        <v>15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20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5000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03" s="29">
        <f>TBL_CalcDarwin[[#This Row],[Expansión - Barra B - 5.2 - Cerro]]*TBL_CalcDarwin[[#This Row],[AEG 5.2 MW Cerro]]</f>
        <v>5.5E-2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45448.24999999976</v>
      </c>
      <c r="C104" s="17">
        <f t="shared" si="10"/>
        <v>4.2499999999999956</v>
      </c>
      <c r="D104" s="34">
        <f>TBL_CalcDarwin[[#This Row],[Darwin PLOM
MW]]+TBL_CalcDarwin[[#This Row],[Darwin PLOME
MW]]</f>
        <v>1.6360000000000001</v>
      </c>
      <c r="E104" s="34">
        <f>TBL_CalcDarwin[[#This Row],[PLOM MW TOTAL BARRA A]]+TBL_CalcDarwin[[#This Row],[PLOM MW TOTAL BARRA B]]</f>
        <v>1.6360000000000001</v>
      </c>
      <c r="F104" s="34">
        <f>TBL_CalcDarwin[[#This Row],[PLOME MW TOTAL BARRA A]]+TBL_CalcDarwin[[#This Row],[PLOME MW TOTAL BARRA B]]</f>
        <v>0</v>
      </c>
      <c r="G104" s="48">
        <f>'Plantilla Datos'!D109</f>
        <v>1.9</v>
      </c>
      <c r="H104" s="48">
        <f>'Plantilla Datos'!E109</f>
        <v>2.7</v>
      </c>
      <c r="I104" s="49">
        <f>'Plantilla Datos'!F109</f>
        <v>16.399999999999999</v>
      </c>
      <c r="J104" s="47">
        <f>CEILING('Plantilla Datos'!$L$3*TBL_CalcDarwin[[#This Row],[Darwin Gusts
m/s]],0.5)</f>
        <v>2</v>
      </c>
      <c r="K104" s="47">
        <f>CEILING('Plantilla Datos'!$L$4*TBL_CalcDarwin[[#This Row],[Darwin Gusts
m/s]],0.5)</f>
        <v>2.5</v>
      </c>
      <c r="L104" s="47">
        <f>CEILING(TBL_CalcDarwin[[#This Row],[Darwin Gusts
m/s]],0.5)</f>
        <v>3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04" s="41">
        <f>INDEX(Curva_Temp[Temp],MATCH(TBL_CalcDarwin[[#This Row],[Darwin Temp.
°C]],Curva_Temp[Temp]))</f>
        <v>15</v>
      </c>
      <c r="R104" s="41">
        <f>INDEX(Curva_Temp[Warranted Power Curve for 
1.194Kg/m3 air density '[kW']
SG 5.0-145 (AM+1, 5.2MW) AT 
90M],MATCH(TBL_CalcDarwin[[#This Row],[Darwin Temp.
°C]],Curva_Temp[Temp]))</f>
        <v>5200</v>
      </c>
      <c r="S104" s="41" cm="1">
        <f t="array" ref="S104">INDEX(Curva_Temp[Temp],MATCH(TBL_CalcDarwin[[#This Row],[Darwin Temp.
°C]],Curva_Temp[Temp])+1)</f>
        <v>20</v>
      </c>
      <c r="T104" s="41" cm="1">
        <f t="array" ref="T104">INDEX(Curva_Temp[Warranted Power Curve for 
1.194Kg/m3 air density '[kW']
SG 5.0-145 (AM+1, 5.2MW) AT 
90M],MATCH(TBL_CalcDarwin[[#This Row],[Darwin Temp.
°C]],Curva_Temp[Temp])+1)</f>
        <v>5000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04" s="41">
        <f>INDEX(Curva_Temp[Temp],MATCH(TBL_CalcDarwin[[#This Row],[Darwin Temp.
°C]],Curva_Temp[Temp]))</f>
        <v>15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20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5000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4" s="29">
        <f>TBL_CalcDarwin[[#This Row],[Expansión - Barra B - 5.2 - Cerro]]*TBL_CalcDarwin[[#This Row],[AEG 5.2 MW Cerro]]</f>
        <v>0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45448.291666666424</v>
      </c>
      <c r="C105" s="17">
        <f t="shared" si="10"/>
        <v>4.2916666666666625</v>
      </c>
      <c r="D105" s="34">
        <f>TBL_CalcDarwin[[#This Row],[Darwin PLOM
MW]]+TBL_CalcDarwin[[#This Row],[Darwin PLOME
MW]]</f>
        <v>0</v>
      </c>
      <c r="E105" s="34">
        <f>TBL_CalcDarwin[[#This Row],[PLOM MW TOTAL BARRA A]]+TBL_CalcDarwin[[#This Row],[PLOM MW TOTAL BARRA B]]</f>
        <v>0</v>
      </c>
      <c r="F105" s="34">
        <f>TBL_CalcDarwin[[#This Row],[PLOME MW TOTAL BARRA A]]+TBL_CalcDarwin[[#This Row],[PLOME MW TOTAL BARRA B]]</f>
        <v>0</v>
      </c>
      <c r="G105" s="48">
        <f>'Plantilla Datos'!D110</f>
        <v>1</v>
      </c>
      <c r="H105" s="48">
        <f>'Plantilla Datos'!E110</f>
        <v>1.6</v>
      </c>
      <c r="I105" s="49">
        <f>'Plantilla Datos'!F110</f>
        <v>16.7</v>
      </c>
      <c r="J105" s="47">
        <f>CEILING('Plantilla Datos'!$L$3*TBL_CalcDarwin[[#This Row],[Darwin Gusts
m/s]],0.5)</f>
        <v>1.5</v>
      </c>
      <c r="K105" s="47">
        <f>CEILING('Plantilla Datos'!$L$4*TBL_CalcDarwin[[#This Row],[Darwin Gusts
m/s]],0.5)</f>
        <v>1.5</v>
      </c>
      <c r="L105" s="47">
        <f>CEILING(TBL_CalcDarwin[[#This Row],[Darwin Gusts
m/s]],0.5)</f>
        <v>2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5" s="41">
        <f>INDEX(Curva_Temp[Temp],MATCH(TBL_CalcDarwin[[#This Row],[Darwin Temp.
°C]],Curva_Temp[Temp]))</f>
        <v>15</v>
      </c>
      <c r="R105" s="41">
        <f>INDEX(Curva_Temp[Warranted Power Curve for 
1.194Kg/m3 air density '[kW']
SG 5.0-145 (AM+1, 5.2MW) AT 
90M],MATCH(TBL_CalcDarwin[[#This Row],[Darwin Temp.
°C]],Curva_Temp[Temp]))</f>
        <v>5200</v>
      </c>
      <c r="S105" s="41" cm="1">
        <f t="array" ref="S105">INDEX(Curva_Temp[Temp],MATCH(TBL_CalcDarwin[[#This Row],[Darwin Temp.
°C]],Curva_Temp[Temp])+1)</f>
        <v>20</v>
      </c>
      <c r="T105" s="41" cm="1">
        <f t="array" ref="T105">INDEX(Curva_Temp[Warranted Power Curve for 
1.194Kg/m3 air density '[kW']
SG 5.0-145 (AM+1, 5.2MW) AT 
90M],MATCH(TBL_CalcDarwin[[#This Row],[Darwin Temp.
°C]],Curva_Temp[Temp])+1)</f>
        <v>5000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5" s="41">
        <f>INDEX(Curva_Temp[Temp],MATCH(TBL_CalcDarwin[[#This Row],[Darwin Temp.
°C]],Curva_Temp[Temp]))</f>
        <v>15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20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5000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5" s="29">
        <f>TBL_CalcDarwin[[#This Row],[Expansión - Barra B - 5.2 - Cerro]]*TBL_CalcDarwin[[#This Row],[AEG 5.2 MW Cerro]]</f>
        <v>0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45448.333333333088</v>
      </c>
      <c r="C106" s="17">
        <f t="shared" si="10"/>
        <v>4.3333333333333295</v>
      </c>
      <c r="D106" s="34">
        <f>TBL_CalcDarwin[[#This Row],[Darwin PLOM
MW]]+TBL_CalcDarwin[[#This Row],[Darwin PLOME
MW]]</f>
        <v>0</v>
      </c>
      <c r="E106" s="34">
        <f>TBL_CalcDarwin[[#This Row],[PLOM MW TOTAL BARRA A]]+TBL_CalcDarwin[[#This Row],[PLOM MW TOTAL BARRA B]]</f>
        <v>0</v>
      </c>
      <c r="F106" s="34">
        <f>TBL_CalcDarwin[[#This Row],[PLOME MW TOTAL BARRA A]]+TBL_CalcDarwin[[#This Row],[PLOME MW TOTAL BARRA B]]</f>
        <v>0</v>
      </c>
      <c r="G106" s="48">
        <f>'Plantilla Datos'!D111</f>
        <v>1.1000000000000001</v>
      </c>
      <c r="H106" s="48">
        <f>'Plantilla Datos'!E111</f>
        <v>1.8</v>
      </c>
      <c r="I106" s="49">
        <f>'Plantilla Datos'!F111</f>
        <v>16.899999999999999</v>
      </c>
      <c r="J106" s="47">
        <f>CEILING('Plantilla Datos'!$L$3*TBL_CalcDarwin[[#This Row],[Darwin Gusts
m/s]],0.5)</f>
        <v>1.5</v>
      </c>
      <c r="K106" s="47">
        <f>CEILING('Plantilla Datos'!$L$4*TBL_CalcDarwin[[#This Row],[Darwin Gusts
m/s]],0.5)</f>
        <v>2</v>
      </c>
      <c r="L106" s="47">
        <f>CEILING(TBL_CalcDarwin[[#This Row],[Darwin Gusts
m/s]],0.5)</f>
        <v>2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6" s="41">
        <f>INDEX(Curva_Temp[Temp],MATCH(TBL_CalcDarwin[[#This Row],[Darwin Temp.
°C]],Curva_Temp[Temp]))</f>
        <v>15</v>
      </c>
      <c r="R106" s="41">
        <f>INDEX(Curva_Temp[Warranted Power Curve for 
1.194Kg/m3 air density '[kW']
SG 5.0-145 (AM+1, 5.2MW) AT 
90M],MATCH(TBL_CalcDarwin[[#This Row],[Darwin Temp.
°C]],Curva_Temp[Temp]))</f>
        <v>5200</v>
      </c>
      <c r="S106" s="41" cm="1">
        <f t="array" ref="S106">INDEX(Curva_Temp[Temp],MATCH(TBL_CalcDarwin[[#This Row],[Darwin Temp.
°C]],Curva_Temp[Temp])+1)</f>
        <v>20</v>
      </c>
      <c r="T106" s="41" cm="1">
        <f t="array" ref="T106">INDEX(Curva_Temp[Warranted Power Curve for 
1.194Kg/m3 air density '[kW']
SG 5.0-145 (AM+1, 5.2MW) AT 
90M],MATCH(TBL_CalcDarwin[[#This Row],[Darwin Temp.
°C]],Curva_Temp[Temp])+1)</f>
        <v>5000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6" s="41">
        <f>INDEX(Curva_Temp[Temp],MATCH(TBL_CalcDarwin[[#This Row],[Darwin Temp.
°C]],Curva_Temp[Temp]))</f>
        <v>15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20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5000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6" s="29">
        <f>TBL_CalcDarwin[[#This Row],[Expansión - Barra B - 5.2 - Cerro]]*TBL_CalcDarwin[[#This Row],[AEG 5.2 MW Cerro]]</f>
        <v>0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45448.374999999753</v>
      </c>
      <c r="C107" s="17">
        <f t="shared" si="10"/>
        <v>4.3749999999999964</v>
      </c>
      <c r="D107" s="34">
        <f>TBL_CalcDarwin[[#This Row],[Darwin PLOM
MW]]+TBL_CalcDarwin[[#This Row],[Darwin PLOME
MW]]</f>
        <v>0</v>
      </c>
      <c r="E107" s="34">
        <f>TBL_CalcDarwin[[#This Row],[PLOM MW TOTAL BARRA A]]+TBL_CalcDarwin[[#This Row],[PLOM MW TOTAL BARRA B]]</f>
        <v>0</v>
      </c>
      <c r="F107" s="34">
        <f>TBL_CalcDarwin[[#This Row],[PLOME MW TOTAL BARRA A]]+TBL_CalcDarwin[[#This Row],[PLOME MW TOTAL BARRA B]]</f>
        <v>0</v>
      </c>
      <c r="G107" s="48">
        <f>'Plantilla Datos'!D112</f>
        <v>1.3</v>
      </c>
      <c r="H107" s="48">
        <f>'Plantilla Datos'!E112</f>
        <v>2</v>
      </c>
      <c r="I107" s="49">
        <f>'Plantilla Datos'!F112</f>
        <v>17.2</v>
      </c>
      <c r="J107" s="47">
        <f>CEILING('Plantilla Datos'!$L$3*TBL_CalcDarwin[[#This Row],[Darwin Gusts
m/s]],0.5)</f>
        <v>1.5</v>
      </c>
      <c r="K107" s="47">
        <f>CEILING('Plantilla Datos'!$L$4*TBL_CalcDarwin[[#This Row],[Darwin Gusts
m/s]],0.5)</f>
        <v>2</v>
      </c>
      <c r="L107" s="47">
        <f>CEILING(TBL_CalcDarwin[[#This Row],[Darwin Gusts
m/s]],0.5)</f>
        <v>2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7" s="41">
        <f>INDEX(Curva_Temp[Temp],MATCH(TBL_CalcDarwin[[#This Row],[Darwin Temp.
°C]],Curva_Temp[Temp]))</f>
        <v>15</v>
      </c>
      <c r="R107" s="41">
        <f>INDEX(Curva_Temp[Warranted Power Curve for 
1.194Kg/m3 air density '[kW']
SG 5.0-145 (AM+1, 5.2MW) AT 
90M],MATCH(TBL_CalcDarwin[[#This Row],[Darwin Temp.
°C]],Curva_Temp[Temp]))</f>
        <v>5200</v>
      </c>
      <c r="S107" s="41" cm="1">
        <f t="array" ref="S107">INDEX(Curva_Temp[Temp],MATCH(TBL_CalcDarwin[[#This Row],[Darwin Temp.
°C]],Curva_Temp[Temp])+1)</f>
        <v>20</v>
      </c>
      <c r="T107" s="41" cm="1">
        <f t="array" ref="T107">INDEX(Curva_Temp[Warranted Power Curve for 
1.194Kg/m3 air density '[kW']
SG 5.0-145 (AM+1, 5.2MW) AT 
90M],MATCH(TBL_CalcDarwin[[#This Row],[Darwin Temp.
°C]],Curva_Temp[Temp])+1)</f>
        <v>5000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7" s="41">
        <f>INDEX(Curva_Temp[Temp],MATCH(TBL_CalcDarwin[[#This Row],[Darwin Temp.
°C]],Curva_Temp[Temp]))</f>
        <v>15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20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5000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7" s="29">
        <f>TBL_CalcDarwin[[#This Row],[Expansión - Barra B - 5.2 - Cerro]]*TBL_CalcDarwin[[#This Row],[AEG 5.2 MW Cerro]]</f>
        <v>0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45448.416666666417</v>
      </c>
      <c r="C108" s="17">
        <f t="shared" si="10"/>
        <v>4.4166666666666634</v>
      </c>
      <c r="D108" s="34">
        <f>TBL_CalcDarwin[[#This Row],[Darwin PLOM
MW]]+TBL_CalcDarwin[[#This Row],[Darwin PLOME
MW]]</f>
        <v>0</v>
      </c>
      <c r="E108" s="34">
        <f>TBL_CalcDarwin[[#This Row],[PLOM MW TOTAL BARRA A]]+TBL_CalcDarwin[[#This Row],[PLOM MW TOTAL BARRA B]]</f>
        <v>0</v>
      </c>
      <c r="F108" s="34">
        <f>TBL_CalcDarwin[[#This Row],[PLOME MW TOTAL BARRA A]]+TBL_CalcDarwin[[#This Row],[PLOME MW TOTAL BARRA B]]</f>
        <v>0</v>
      </c>
      <c r="G108" s="48">
        <f>'Plantilla Datos'!D113</f>
        <v>1.5</v>
      </c>
      <c r="H108" s="48">
        <f>'Plantilla Datos'!E113</f>
        <v>2.2000000000000002</v>
      </c>
      <c r="I108" s="49">
        <f>'Plantilla Datos'!F113</f>
        <v>17.5</v>
      </c>
      <c r="J108" s="47">
        <f>CEILING('Plantilla Datos'!$L$3*TBL_CalcDarwin[[#This Row],[Darwin Gusts
m/s]],0.5)</f>
        <v>2</v>
      </c>
      <c r="K108" s="47">
        <f>CEILING('Plantilla Datos'!$L$4*TBL_CalcDarwin[[#This Row],[Darwin Gusts
m/s]],0.5)</f>
        <v>2</v>
      </c>
      <c r="L108" s="47">
        <f>CEILING(TBL_CalcDarwin[[#This Row],[Darwin Gusts
m/s]],0.5)</f>
        <v>2.5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8" s="41">
        <f>INDEX(Curva_Temp[Temp],MATCH(TBL_CalcDarwin[[#This Row],[Darwin Temp.
°C]],Curva_Temp[Temp]))</f>
        <v>15</v>
      </c>
      <c r="R108" s="41">
        <f>INDEX(Curva_Temp[Warranted Power Curve for 
1.194Kg/m3 air density '[kW']
SG 5.0-145 (AM+1, 5.2MW) AT 
90M],MATCH(TBL_CalcDarwin[[#This Row],[Darwin Temp.
°C]],Curva_Temp[Temp]))</f>
        <v>5200</v>
      </c>
      <c r="S108" s="41" cm="1">
        <f t="array" ref="S108">INDEX(Curva_Temp[Temp],MATCH(TBL_CalcDarwin[[#This Row],[Darwin Temp.
°C]],Curva_Temp[Temp])+1)</f>
        <v>20</v>
      </c>
      <c r="T108" s="41" cm="1">
        <f t="array" ref="T108">INDEX(Curva_Temp[Warranted Power Curve for 
1.194Kg/m3 air density '[kW']
SG 5.0-145 (AM+1, 5.2MW) AT 
90M],MATCH(TBL_CalcDarwin[[#This Row],[Darwin Temp.
°C]],Curva_Temp[Temp])+1)</f>
        <v>5000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8" s="41">
        <f>INDEX(Curva_Temp[Temp],MATCH(TBL_CalcDarwin[[#This Row],[Darwin Temp.
°C]],Curva_Temp[Temp]))</f>
        <v>15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20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5000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8" s="29">
        <f>TBL_CalcDarwin[[#This Row],[Expansión - Barra B - 5.2 - Cerro]]*TBL_CalcDarwin[[#This Row],[AEG 5.2 MW Cerro]]</f>
        <v>0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45448.458333333081</v>
      </c>
      <c r="C109" s="17">
        <f t="shared" si="10"/>
        <v>4.4583333333333304</v>
      </c>
      <c r="D109" s="34">
        <f>TBL_CalcDarwin[[#This Row],[Darwin PLOM
MW]]+TBL_CalcDarwin[[#This Row],[Darwin PLOME
MW]]</f>
        <v>0</v>
      </c>
      <c r="E109" s="34">
        <f>TBL_CalcDarwin[[#This Row],[PLOM MW TOTAL BARRA A]]+TBL_CalcDarwin[[#This Row],[PLOM MW TOTAL BARRA B]]</f>
        <v>0</v>
      </c>
      <c r="F109" s="34">
        <f>TBL_CalcDarwin[[#This Row],[PLOME MW TOTAL BARRA A]]+TBL_CalcDarwin[[#This Row],[PLOME MW TOTAL BARRA B]]</f>
        <v>0</v>
      </c>
      <c r="G109" s="48">
        <f>'Plantilla Datos'!D114</f>
        <v>1.7</v>
      </c>
      <c r="H109" s="48">
        <f>'Plantilla Datos'!E114</f>
        <v>2.5</v>
      </c>
      <c r="I109" s="49">
        <f>'Plantilla Datos'!F114</f>
        <v>17.899999999999999</v>
      </c>
      <c r="J109" s="47">
        <f>CEILING('Plantilla Datos'!$L$3*TBL_CalcDarwin[[#This Row],[Darwin Gusts
m/s]],0.5)</f>
        <v>2</v>
      </c>
      <c r="K109" s="47">
        <f>CEILING('Plantilla Datos'!$L$4*TBL_CalcDarwin[[#This Row],[Darwin Gusts
m/s]],0.5)</f>
        <v>2.5</v>
      </c>
      <c r="L109" s="47">
        <f>CEILING(TBL_CalcDarwin[[#This Row],[Darwin Gusts
m/s]],0.5)</f>
        <v>2.5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9" s="41">
        <f>INDEX(Curva_Temp[Temp],MATCH(TBL_CalcDarwin[[#This Row],[Darwin Temp.
°C]],Curva_Temp[Temp]))</f>
        <v>15</v>
      </c>
      <c r="R109" s="41">
        <f>INDEX(Curva_Temp[Warranted Power Curve for 
1.194Kg/m3 air density '[kW']
SG 5.0-145 (AM+1, 5.2MW) AT 
90M],MATCH(TBL_CalcDarwin[[#This Row],[Darwin Temp.
°C]],Curva_Temp[Temp]))</f>
        <v>5200</v>
      </c>
      <c r="S109" s="41" cm="1">
        <f t="array" ref="S109">INDEX(Curva_Temp[Temp],MATCH(TBL_CalcDarwin[[#This Row],[Darwin Temp.
°C]],Curva_Temp[Temp])+1)</f>
        <v>20</v>
      </c>
      <c r="T109" s="41" cm="1">
        <f t="array" ref="T109">INDEX(Curva_Temp[Warranted Power Curve for 
1.194Kg/m3 air density '[kW']
SG 5.0-145 (AM+1, 5.2MW) AT 
90M],MATCH(TBL_CalcDarwin[[#This Row],[Darwin Temp.
°C]],Curva_Temp[Temp])+1)</f>
        <v>5000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9" s="41">
        <f>INDEX(Curva_Temp[Temp],MATCH(TBL_CalcDarwin[[#This Row],[Darwin Temp.
°C]],Curva_Temp[Temp]))</f>
        <v>15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20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5000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9" s="29">
        <f>TBL_CalcDarwin[[#This Row],[Expansión - Barra B - 5.2 - Cerro]]*TBL_CalcDarwin[[#This Row],[AEG 5.2 MW Cerro]]</f>
        <v>0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45448.499999999745</v>
      </c>
      <c r="C110" s="17">
        <f t="shared" si="10"/>
        <v>4.4999999999999973</v>
      </c>
      <c r="D110" s="34">
        <f>TBL_CalcDarwin[[#This Row],[Darwin PLOM
MW]]+TBL_CalcDarwin[[#This Row],[Darwin PLOME
MW]]</f>
        <v>2.3510000000000004</v>
      </c>
      <c r="E110" s="34">
        <f>TBL_CalcDarwin[[#This Row],[PLOM MW TOTAL BARRA A]]+TBL_CalcDarwin[[#This Row],[PLOM MW TOTAL BARRA B]]</f>
        <v>2.2960000000000003</v>
      </c>
      <c r="F110" s="34">
        <f>TBL_CalcDarwin[[#This Row],[PLOME MW TOTAL BARRA A]]+TBL_CalcDarwin[[#This Row],[PLOME MW TOTAL BARRA B]]</f>
        <v>5.5E-2</v>
      </c>
      <c r="G110" s="48">
        <f>'Plantilla Datos'!D115</f>
        <v>1.9</v>
      </c>
      <c r="H110" s="48">
        <f>'Plantilla Datos'!E115</f>
        <v>3</v>
      </c>
      <c r="I110" s="49">
        <f>'Plantilla Datos'!F115</f>
        <v>18.3</v>
      </c>
      <c r="J110" s="47">
        <f>CEILING('Plantilla Datos'!$L$3*TBL_CalcDarwin[[#This Row],[Darwin Gusts
m/s]],0.5)</f>
        <v>2.5</v>
      </c>
      <c r="K110" s="47">
        <f>CEILING('Plantilla Datos'!$L$4*TBL_CalcDarwin[[#This Row],[Darwin Gusts
m/s]],0.5)</f>
        <v>3</v>
      </c>
      <c r="L110" s="47">
        <f>CEILING(TBL_CalcDarwin[[#This Row],[Darwin Gusts
m/s]],0.5)</f>
        <v>3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10" s="41">
        <f>INDEX(Curva_Temp[Temp],MATCH(TBL_CalcDarwin[[#This Row],[Darwin Temp.
°C]],Curva_Temp[Temp]))</f>
        <v>15</v>
      </c>
      <c r="R110" s="41">
        <f>INDEX(Curva_Temp[Warranted Power Curve for 
1.194Kg/m3 air density '[kW']
SG 5.0-145 (AM+1, 5.2MW) AT 
90M],MATCH(TBL_CalcDarwin[[#This Row],[Darwin Temp.
°C]],Curva_Temp[Temp]))</f>
        <v>5200</v>
      </c>
      <c r="S110" s="41" cm="1">
        <f t="array" ref="S110">INDEX(Curva_Temp[Temp],MATCH(TBL_CalcDarwin[[#This Row],[Darwin Temp.
°C]],Curva_Temp[Temp])+1)</f>
        <v>20</v>
      </c>
      <c r="T110" s="41" cm="1">
        <f t="array" ref="T110">INDEX(Curva_Temp[Warranted Power Curve for 
1.194Kg/m3 air density '[kW']
SG 5.0-145 (AM+1, 5.2MW) AT 
90M],MATCH(TBL_CalcDarwin[[#This Row],[Darwin Temp.
°C]],Curva_Temp[Temp])+1)</f>
        <v>5000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10" s="41">
        <f>INDEX(Curva_Temp[Temp],MATCH(TBL_CalcDarwin[[#This Row],[Darwin Temp.
°C]],Curva_Temp[Temp]))</f>
        <v>15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20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5000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1.1000000000000001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1.1960000000000002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10" s="29">
        <f>TBL_CalcDarwin[[#This Row],[Expansión - Barra B - 5.2 - Cerro]]*TBL_CalcDarwin[[#This Row],[AEG 5.2 MW Cerro]]</f>
        <v>0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45448.54166666641</v>
      </c>
      <c r="C111" s="17">
        <f t="shared" si="10"/>
        <v>4.5416666666666643</v>
      </c>
      <c r="D111" s="34">
        <f>TBL_CalcDarwin[[#This Row],[Darwin PLOM
MW]]+TBL_CalcDarwin[[#This Row],[Darwin PLOME
MW]]</f>
        <v>5.0930000000000009</v>
      </c>
      <c r="E111" s="34">
        <f>TBL_CalcDarwin[[#This Row],[PLOM MW TOTAL BARRA A]]+TBL_CalcDarwin[[#This Row],[PLOM MW TOTAL BARRA B]]</f>
        <v>4.9280000000000008</v>
      </c>
      <c r="F111" s="34">
        <f>TBL_CalcDarwin[[#This Row],[PLOME MW TOTAL BARRA A]]+TBL_CalcDarwin[[#This Row],[PLOME MW TOTAL BARRA B]]</f>
        <v>0.16500000000000001</v>
      </c>
      <c r="G111" s="48">
        <f>'Plantilla Datos'!D116</f>
        <v>2.1</v>
      </c>
      <c r="H111" s="48">
        <f>'Plantilla Datos'!E116</f>
        <v>3.5</v>
      </c>
      <c r="I111" s="49">
        <f>'Plantilla Datos'!F116</f>
        <v>18.7</v>
      </c>
      <c r="J111" s="47">
        <f>CEILING('Plantilla Datos'!$L$3*TBL_CalcDarwin[[#This Row],[Darwin Gusts
m/s]],0.5)</f>
        <v>3</v>
      </c>
      <c r="K111" s="47">
        <f>CEILING('Plantilla Datos'!$L$4*TBL_CalcDarwin[[#This Row],[Darwin Gusts
m/s]],0.5)</f>
        <v>3</v>
      </c>
      <c r="L111" s="47">
        <f>CEILING(TBL_CalcDarwin[[#This Row],[Darwin Gusts
m/s]],0.5)</f>
        <v>3.5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11" s="41">
        <f>INDEX(Curva_Temp[Temp],MATCH(TBL_CalcDarwin[[#This Row],[Darwin Temp.
°C]],Curva_Temp[Temp]))</f>
        <v>15</v>
      </c>
      <c r="R111" s="41">
        <f>INDEX(Curva_Temp[Warranted Power Curve for 
1.194Kg/m3 air density '[kW']
SG 5.0-145 (AM+1, 5.2MW) AT 
90M],MATCH(TBL_CalcDarwin[[#This Row],[Darwin Temp.
°C]],Curva_Temp[Temp]))</f>
        <v>5200</v>
      </c>
      <c r="S111" s="41" cm="1">
        <f t="array" ref="S111">INDEX(Curva_Temp[Temp],MATCH(TBL_CalcDarwin[[#This Row],[Darwin Temp.
°C]],Curva_Temp[Temp])+1)</f>
        <v>20</v>
      </c>
      <c r="T111" s="41" cm="1">
        <f t="array" ref="T111">INDEX(Curva_Temp[Warranted Power Curve for 
1.194Kg/m3 air density '[kW']
SG 5.0-145 (AM+1, 5.2MW) AT 
90M],MATCH(TBL_CalcDarwin[[#This Row],[Darwin Temp.
°C]],Curva_Temp[Temp])+1)</f>
        <v>5000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11" s="41">
        <f>INDEX(Curva_Temp[Temp],MATCH(TBL_CalcDarwin[[#This Row],[Darwin Temp.
°C]],Curva_Temp[Temp]))</f>
        <v>15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20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5000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2.2750000000000004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2.653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111" s="29">
        <f>TBL_CalcDarwin[[#This Row],[Expansión - Barra B - 5.2 - Cerro]]*TBL_CalcDarwin[[#This Row],[AEG 5.2 MW Cerro]]</f>
        <v>5.5E-2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45448.583333333074</v>
      </c>
      <c r="C112" s="17">
        <f t="shared" si="10"/>
        <v>4.5833333333333313</v>
      </c>
      <c r="D112" s="34">
        <f>TBL_CalcDarwin[[#This Row],[Darwin PLOM
MW]]+TBL_CalcDarwin[[#This Row],[Darwin PLOME
MW]]</f>
        <v>4.6549999999999994</v>
      </c>
      <c r="E112" s="34">
        <f>TBL_CalcDarwin[[#This Row],[PLOM MW TOTAL BARRA A]]+TBL_CalcDarwin[[#This Row],[PLOM MW TOTAL BARRA B]]</f>
        <v>4.5999999999999996</v>
      </c>
      <c r="F112" s="34">
        <f>TBL_CalcDarwin[[#This Row],[PLOME MW TOTAL BARRA A]]+TBL_CalcDarwin[[#This Row],[PLOME MW TOTAL BARRA B]]</f>
        <v>5.5E-2</v>
      </c>
      <c r="G112" s="48">
        <f>'Plantilla Datos'!D117</f>
        <v>2.2000000000000002</v>
      </c>
      <c r="H112" s="48">
        <f>'Plantilla Datos'!E117</f>
        <v>3.4</v>
      </c>
      <c r="I112" s="49">
        <f>'Plantilla Datos'!F117</f>
        <v>18.3</v>
      </c>
      <c r="J112" s="47">
        <f>CEILING('Plantilla Datos'!$L$3*TBL_CalcDarwin[[#This Row],[Darwin Gusts
m/s]],0.5)</f>
        <v>2.5</v>
      </c>
      <c r="K112" s="47">
        <f>CEILING('Plantilla Datos'!$L$4*TBL_CalcDarwin[[#This Row],[Darwin Gusts
m/s]],0.5)</f>
        <v>3</v>
      </c>
      <c r="L112" s="47">
        <f>CEILING(TBL_CalcDarwin[[#This Row],[Darwin Gusts
m/s]],0.5)</f>
        <v>3.5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12" s="41">
        <f>INDEX(Curva_Temp[Temp],MATCH(TBL_CalcDarwin[[#This Row],[Darwin Temp.
°C]],Curva_Temp[Temp]))</f>
        <v>15</v>
      </c>
      <c r="R112" s="41">
        <f>INDEX(Curva_Temp[Warranted Power Curve for 
1.194Kg/m3 air density '[kW']
SG 5.0-145 (AM+1, 5.2MW) AT 
90M],MATCH(TBL_CalcDarwin[[#This Row],[Darwin Temp.
°C]],Curva_Temp[Temp]))</f>
        <v>5200</v>
      </c>
      <c r="S112" s="41" cm="1">
        <f t="array" ref="S112">INDEX(Curva_Temp[Temp],MATCH(TBL_CalcDarwin[[#This Row],[Darwin Temp.
°C]],Curva_Temp[Temp])+1)</f>
        <v>20</v>
      </c>
      <c r="T112" s="41" cm="1">
        <f t="array" ref="T112">INDEX(Curva_Temp[Warranted Power Curve for 
1.194Kg/m3 air density '[kW']
SG 5.0-145 (AM+1, 5.2MW) AT 
90M],MATCH(TBL_CalcDarwin[[#This Row],[Darwin Temp.
°C]],Curva_Temp[Temp])+1)</f>
        <v>5000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12" s="41">
        <f>INDEX(Curva_Temp[Temp],MATCH(TBL_CalcDarwin[[#This Row],[Darwin Temp.
°C]],Curva_Temp[Temp]))</f>
        <v>15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20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5000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12" s="29">
        <f>TBL_CalcDarwin[[#This Row],[Expansión - Barra B - 5.2 - Cerro]]*TBL_CalcDarwin[[#This Row],[AEG 5.2 MW Cerro]]</f>
        <v>0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45448.624999999738</v>
      </c>
      <c r="C113" s="17">
        <f t="shared" si="10"/>
        <v>4.6249999999999982</v>
      </c>
      <c r="D113" s="34">
        <f>TBL_CalcDarwin[[#This Row],[Darwin PLOM
MW]]+TBL_CalcDarwin[[#This Row],[Darwin PLOME
MW]]</f>
        <v>4.6549999999999994</v>
      </c>
      <c r="E113" s="34">
        <f>TBL_CalcDarwin[[#This Row],[PLOM MW TOTAL BARRA A]]+TBL_CalcDarwin[[#This Row],[PLOM MW TOTAL BARRA B]]</f>
        <v>4.5999999999999996</v>
      </c>
      <c r="F113" s="34">
        <f>TBL_CalcDarwin[[#This Row],[PLOME MW TOTAL BARRA A]]+TBL_CalcDarwin[[#This Row],[PLOME MW TOTAL BARRA B]]</f>
        <v>5.5E-2</v>
      </c>
      <c r="G113" s="48">
        <f>'Plantilla Datos'!D118</f>
        <v>2.4</v>
      </c>
      <c r="H113" s="48">
        <f>'Plantilla Datos'!E118</f>
        <v>3.3</v>
      </c>
      <c r="I113" s="49">
        <f>'Plantilla Datos'!F118</f>
        <v>17.899999999999999</v>
      </c>
      <c r="J113" s="47">
        <f>CEILING('Plantilla Datos'!$L$3*TBL_CalcDarwin[[#This Row],[Darwin Gusts
m/s]],0.5)</f>
        <v>2.5</v>
      </c>
      <c r="K113" s="47">
        <f>CEILING('Plantilla Datos'!$L$4*TBL_CalcDarwin[[#This Row],[Darwin Gusts
m/s]],0.5)</f>
        <v>3</v>
      </c>
      <c r="L113" s="47">
        <f>CEILING(TBL_CalcDarwin[[#This Row],[Darwin Gusts
m/s]],0.5)</f>
        <v>3.5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13" s="41">
        <f>INDEX(Curva_Temp[Temp],MATCH(TBL_CalcDarwin[[#This Row],[Darwin Temp.
°C]],Curva_Temp[Temp]))</f>
        <v>15</v>
      </c>
      <c r="R113" s="41">
        <f>INDEX(Curva_Temp[Warranted Power Curve for 
1.194Kg/m3 air density '[kW']
SG 5.0-145 (AM+1, 5.2MW) AT 
90M],MATCH(TBL_CalcDarwin[[#This Row],[Darwin Temp.
°C]],Curva_Temp[Temp]))</f>
        <v>5200</v>
      </c>
      <c r="S113" s="41" cm="1">
        <f t="array" ref="S113">INDEX(Curva_Temp[Temp],MATCH(TBL_CalcDarwin[[#This Row],[Darwin Temp.
°C]],Curva_Temp[Temp])+1)</f>
        <v>20</v>
      </c>
      <c r="T113" s="41" cm="1">
        <f t="array" ref="T113">INDEX(Curva_Temp[Warranted Power Curve for 
1.194Kg/m3 air density '[kW']
SG 5.0-145 (AM+1, 5.2MW) AT 
90M],MATCH(TBL_CalcDarwin[[#This Row],[Darwin Temp.
°C]],Curva_Temp[Temp])+1)</f>
        <v>5000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13" s="41">
        <f>INDEX(Curva_Temp[Temp],MATCH(TBL_CalcDarwin[[#This Row],[Darwin Temp.
°C]],Curva_Temp[Temp]))</f>
        <v>15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20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5000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13" s="29">
        <f>TBL_CalcDarwin[[#This Row],[Expansión - Barra B - 5.2 - Cerro]]*TBL_CalcDarwin[[#This Row],[AEG 5.2 MW Cerro]]</f>
        <v>0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45448.666666666402</v>
      </c>
      <c r="C114" s="17">
        <f t="shared" si="10"/>
        <v>4.6666666666666652</v>
      </c>
      <c r="D114" s="34">
        <f>TBL_CalcDarwin[[#This Row],[Darwin PLOM
MW]]+TBL_CalcDarwin[[#This Row],[Darwin PLOME
MW]]</f>
        <v>5.0930000000000009</v>
      </c>
      <c r="E114" s="34">
        <f>TBL_CalcDarwin[[#This Row],[PLOM MW TOTAL BARRA A]]+TBL_CalcDarwin[[#This Row],[PLOM MW TOTAL BARRA B]]</f>
        <v>4.9280000000000008</v>
      </c>
      <c r="F114" s="34">
        <f>TBL_CalcDarwin[[#This Row],[PLOME MW TOTAL BARRA A]]+TBL_CalcDarwin[[#This Row],[PLOME MW TOTAL BARRA B]]</f>
        <v>0.16500000000000001</v>
      </c>
      <c r="G114" s="48">
        <f>'Plantilla Datos'!D119</f>
        <v>2.5</v>
      </c>
      <c r="H114" s="48">
        <f>'Plantilla Datos'!E119</f>
        <v>3.5</v>
      </c>
      <c r="I114" s="49">
        <f>'Plantilla Datos'!F119</f>
        <v>17.600000000000001</v>
      </c>
      <c r="J114" s="47">
        <f>CEILING('Plantilla Datos'!$L$3*TBL_CalcDarwin[[#This Row],[Darwin Gusts
m/s]],0.5)</f>
        <v>3</v>
      </c>
      <c r="K114" s="47">
        <f>CEILING('Plantilla Datos'!$L$4*TBL_CalcDarwin[[#This Row],[Darwin Gusts
m/s]],0.5)</f>
        <v>3</v>
      </c>
      <c r="L114" s="47">
        <f>CEILING(TBL_CalcDarwin[[#This Row],[Darwin Gusts
m/s]],0.5)</f>
        <v>3.5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14" s="41">
        <f>INDEX(Curva_Temp[Temp],MATCH(TBL_CalcDarwin[[#This Row],[Darwin Temp.
°C]],Curva_Temp[Temp]))</f>
        <v>15</v>
      </c>
      <c r="R114" s="41">
        <f>INDEX(Curva_Temp[Warranted Power Curve for 
1.194Kg/m3 air density '[kW']
SG 5.0-145 (AM+1, 5.2MW) AT 
90M],MATCH(TBL_CalcDarwin[[#This Row],[Darwin Temp.
°C]],Curva_Temp[Temp]))</f>
        <v>5200</v>
      </c>
      <c r="S114" s="41" cm="1">
        <f t="array" ref="S114">INDEX(Curva_Temp[Temp],MATCH(TBL_CalcDarwin[[#This Row],[Darwin Temp.
°C]],Curva_Temp[Temp])+1)</f>
        <v>20</v>
      </c>
      <c r="T114" s="41" cm="1">
        <f t="array" ref="T114">INDEX(Curva_Temp[Warranted Power Curve for 
1.194Kg/m3 air density '[kW']
SG 5.0-145 (AM+1, 5.2MW) AT 
90M],MATCH(TBL_CalcDarwin[[#This Row],[Darwin Temp.
°C]],Curva_Temp[Temp])+1)</f>
        <v>5000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14" s="41">
        <f>INDEX(Curva_Temp[Temp],MATCH(TBL_CalcDarwin[[#This Row],[Darwin Temp.
°C]],Curva_Temp[Temp]))</f>
        <v>15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20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5000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2.2750000000000004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2.653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114" s="29">
        <f>TBL_CalcDarwin[[#This Row],[Expansión - Barra B - 5.2 - Cerro]]*TBL_CalcDarwin[[#This Row],[AEG 5.2 MW Cerro]]</f>
        <v>5.5E-2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45448.708333333067</v>
      </c>
      <c r="C115" s="17">
        <f t="shared" si="10"/>
        <v>4.7083333333333321</v>
      </c>
      <c r="D115" s="34">
        <f>TBL_CalcDarwin[[#This Row],[Darwin PLOM
MW]]+TBL_CalcDarwin[[#This Row],[Darwin PLOME
MW]]</f>
        <v>9.4850000000000012</v>
      </c>
      <c r="E115" s="34">
        <f>TBL_CalcDarwin[[#This Row],[PLOM MW TOTAL BARRA A]]+TBL_CalcDarwin[[#This Row],[PLOM MW TOTAL BARRA B]]</f>
        <v>9.245000000000001</v>
      </c>
      <c r="F115" s="34">
        <f>TBL_CalcDarwin[[#This Row],[PLOME MW TOTAL BARRA A]]+TBL_CalcDarwin[[#This Row],[PLOME MW TOTAL BARRA B]]</f>
        <v>0.24</v>
      </c>
      <c r="G115" s="48">
        <f>'Plantilla Datos'!D120</f>
        <v>3</v>
      </c>
      <c r="H115" s="48">
        <f>'Plantilla Datos'!E120</f>
        <v>4</v>
      </c>
      <c r="I115" s="49">
        <f>'Plantilla Datos'!F120</f>
        <v>17.2</v>
      </c>
      <c r="J115" s="47">
        <f>CEILING('Plantilla Datos'!$L$3*TBL_CalcDarwin[[#This Row],[Darwin Gusts
m/s]],0.5)</f>
        <v>3</v>
      </c>
      <c r="K115" s="47">
        <f>CEILING('Plantilla Datos'!$L$4*TBL_CalcDarwin[[#This Row],[Darwin Gusts
m/s]],0.5)</f>
        <v>3.5</v>
      </c>
      <c r="L115" s="47">
        <f>CEILING(TBL_CalcDarwin[[#This Row],[Darwin Gusts
m/s]],0.5)</f>
        <v>4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15" s="41">
        <f>INDEX(Curva_Temp[Temp],MATCH(TBL_CalcDarwin[[#This Row],[Darwin Temp.
°C]],Curva_Temp[Temp]))</f>
        <v>15</v>
      </c>
      <c r="R115" s="41">
        <f>INDEX(Curva_Temp[Warranted Power Curve for 
1.194Kg/m3 air density '[kW']
SG 5.0-145 (AM+1, 5.2MW) AT 
90M],MATCH(TBL_CalcDarwin[[#This Row],[Darwin Temp.
°C]],Curva_Temp[Temp]))</f>
        <v>5200</v>
      </c>
      <c r="S115" s="41" cm="1">
        <f t="array" ref="S115">INDEX(Curva_Temp[Temp],MATCH(TBL_CalcDarwin[[#This Row],[Darwin Temp.
°C]],Curva_Temp[Temp])+1)</f>
        <v>20</v>
      </c>
      <c r="T115" s="41" cm="1">
        <f t="array" ref="T115">INDEX(Curva_Temp[Warranted Power Curve for 
1.194Kg/m3 air density '[kW']
SG 5.0-145 (AM+1, 5.2MW) AT 
90M],MATCH(TBL_CalcDarwin[[#This Row],[Darwin Temp.
°C]],Curva_Temp[Temp])+1)</f>
        <v>5000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15" s="41">
        <f>INDEX(Curva_Temp[Temp],MATCH(TBL_CalcDarwin[[#This Row],[Darwin Temp.
°C]],Curva_Temp[Temp]))</f>
        <v>15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20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5000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15" s="29">
        <f>TBL_CalcDarwin[[#This Row],[Expansión - Barra B - 5.2 - Cerro]]*TBL_CalcDarwin[[#This Row],[AEG 5.2 MW Cerro]]</f>
        <v>5.5E-2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45448.749999999731</v>
      </c>
      <c r="C116" s="17">
        <f t="shared" si="10"/>
        <v>4.7499999999999991</v>
      </c>
      <c r="D116" s="34">
        <f>TBL_CalcDarwin[[#This Row],[Darwin PLOM
MW]]+TBL_CalcDarwin[[#This Row],[Darwin PLOME
MW]]</f>
        <v>15.728</v>
      </c>
      <c r="E116" s="34">
        <f>TBL_CalcDarwin[[#This Row],[PLOM MW TOTAL BARRA A]]+TBL_CalcDarwin[[#This Row],[PLOM MW TOTAL BARRA B]]</f>
        <v>15.224</v>
      </c>
      <c r="F116" s="34">
        <f>TBL_CalcDarwin[[#This Row],[PLOME MW TOTAL BARRA A]]+TBL_CalcDarwin[[#This Row],[PLOME MW TOTAL BARRA B]]</f>
        <v>0.504</v>
      </c>
      <c r="G116" s="48">
        <f>'Plantilla Datos'!D121</f>
        <v>3.4</v>
      </c>
      <c r="H116" s="48">
        <f>'Plantilla Datos'!E121</f>
        <v>4.5</v>
      </c>
      <c r="I116" s="49">
        <f>'Plantilla Datos'!F121</f>
        <v>16.600000000000001</v>
      </c>
      <c r="J116" s="47">
        <f>CEILING('Plantilla Datos'!$L$3*TBL_CalcDarwin[[#This Row],[Darwin Gusts
m/s]],0.5)</f>
        <v>3.5</v>
      </c>
      <c r="K116" s="47">
        <f>CEILING('Plantilla Datos'!$L$4*TBL_CalcDarwin[[#This Row],[Darwin Gusts
m/s]],0.5)</f>
        <v>4</v>
      </c>
      <c r="L116" s="47">
        <f>CEILING(TBL_CalcDarwin[[#This Row],[Darwin Gusts
m/s]],0.5)</f>
        <v>4.5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16" s="41">
        <f>INDEX(Curva_Temp[Temp],MATCH(TBL_CalcDarwin[[#This Row],[Darwin Temp.
°C]],Curva_Temp[Temp]))</f>
        <v>15</v>
      </c>
      <c r="R116" s="41">
        <f>INDEX(Curva_Temp[Warranted Power Curve for 
1.194Kg/m3 air density '[kW']
SG 5.0-145 (AM+1, 5.2MW) AT 
90M],MATCH(TBL_CalcDarwin[[#This Row],[Darwin Temp.
°C]],Curva_Temp[Temp]))</f>
        <v>5200</v>
      </c>
      <c r="S116" s="41" cm="1">
        <f t="array" ref="S116">INDEX(Curva_Temp[Temp],MATCH(TBL_CalcDarwin[[#This Row],[Darwin Temp.
°C]],Curva_Temp[Temp])+1)</f>
        <v>20</v>
      </c>
      <c r="T116" s="41" cm="1">
        <f t="array" ref="T116">INDEX(Curva_Temp[Warranted Power Curve for 
1.194Kg/m3 air density '[kW']
SG 5.0-145 (AM+1, 5.2MW) AT 
90M],MATCH(TBL_CalcDarwin[[#This Row],[Darwin Temp.
°C]],Curva_Temp[Temp])+1)</f>
        <v>5000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16" s="41">
        <f>INDEX(Curva_Temp[Temp],MATCH(TBL_CalcDarwin[[#This Row],[Darwin Temp.
°C]],Curva_Temp[Temp]))</f>
        <v>15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20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5000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16" s="29">
        <f>TBL_CalcDarwin[[#This Row],[Expansión - Barra B - 5.2 - Cerro]]*TBL_CalcDarwin[[#This Row],[AEG 5.2 MW Cerro]]</f>
        <v>0.13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45448.791666666395</v>
      </c>
      <c r="C117" s="17">
        <f t="shared" si="10"/>
        <v>4.7916666666666661</v>
      </c>
      <c r="D117" s="34">
        <f>TBL_CalcDarwin[[#This Row],[Darwin PLOM
MW]]+TBL_CalcDarwin[[#This Row],[Darwin PLOME
MW]]</f>
        <v>23.425999999999998</v>
      </c>
      <c r="E117" s="34">
        <f>TBL_CalcDarwin[[#This Row],[PLOM MW TOTAL BARRA A]]+TBL_CalcDarwin[[#This Row],[PLOM MW TOTAL BARRA B]]</f>
        <v>22.555999999999997</v>
      </c>
      <c r="F117" s="34">
        <f>TBL_CalcDarwin[[#This Row],[PLOME MW TOTAL BARRA A]]+TBL_CalcDarwin[[#This Row],[PLOME MW TOTAL BARRA B]]</f>
        <v>0.87</v>
      </c>
      <c r="G117" s="48">
        <f>'Plantilla Datos'!D122</f>
        <v>3.8</v>
      </c>
      <c r="H117" s="48">
        <f>'Plantilla Datos'!E122</f>
        <v>5</v>
      </c>
      <c r="I117" s="49">
        <f>'Plantilla Datos'!F122</f>
        <v>16.2</v>
      </c>
      <c r="J117" s="47">
        <f>CEILING('Plantilla Datos'!$L$3*TBL_CalcDarwin[[#This Row],[Darwin Gusts
m/s]],0.5)</f>
        <v>4</v>
      </c>
      <c r="K117" s="47">
        <f>CEILING('Plantilla Datos'!$L$4*TBL_CalcDarwin[[#This Row],[Darwin Gusts
m/s]],0.5)</f>
        <v>4.5</v>
      </c>
      <c r="L117" s="47">
        <f>CEILING(TBL_CalcDarwin[[#This Row],[Darwin Gusts
m/s]],0.5)</f>
        <v>5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17" s="41">
        <f>INDEX(Curva_Temp[Temp],MATCH(TBL_CalcDarwin[[#This Row],[Darwin Temp.
°C]],Curva_Temp[Temp]))</f>
        <v>15</v>
      </c>
      <c r="R117" s="41">
        <f>INDEX(Curva_Temp[Warranted Power Curve for 
1.194Kg/m3 air density '[kW']
SG 5.0-145 (AM+1, 5.2MW) AT 
90M],MATCH(TBL_CalcDarwin[[#This Row],[Darwin Temp.
°C]],Curva_Temp[Temp]))</f>
        <v>5200</v>
      </c>
      <c r="S117" s="41" cm="1">
        <f t="array" ref="S117">INDEX(Curva_Temp[Temp],MATCH(TBL_CalcDarwin[[#This Row],[Darwin Temp.
°C]],Curva_Temp[Temp])+1)</f>
        <v>20</v>
      </c>
      <c r="T117" s="41" cm="1">
        <f t="array" ref="T117">INDEX(Curva_Temp[Warranted Power Curve for 
1.194Kg/m3 air density '[kW']
SG 5.0-145 (AM+1, 5.2MW) AT 
90M],MATCH(TBL_CalcDarwin[[#This Row],[Darwin Temp.
°C]],Curva_Temp[Temp])+1)</f>
        <v>5000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17" s="41">
        <f>INDEX(Curva_Temp[Temp],MATCH(TBL_CalcDarwin[[#This Row],[Darwin Temp.
°C]],Curva_Temp[Temp]))</f>
        <v>15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20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5000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10.84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17" s="29">
        <f>TBL_CalcDarwin[[#This Row],[Expansión - Barra B - 5.2 - Cerro]]*TBL_CalcDarwin[[#This Row],[AEG 5.2 MW Cerro]]</f>
        <v>0.24399999999999999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45448.833333333059</v>
      </c>
      <c r="C118" s="17">
        <f t="shared" si="10"/>
        <v>4.833333333333333</v>
      </c>
      <c r="D118" s="34">
        <f>TBL_CalcDarwin[[#This Row],[Darwin PLOM
MW]]+TBL_CalcDarwin[[#This Row],[Darwin PLOME
MW]]</f>
        <v>29.592000000000002</v>
      </c>
      <c r="E118" s="34">
        <f>TBL_CalcDarwin[[#This Row],[PLOM MW TOTAL BARRA A]]+TBL_CalcDarwin[[#This Row],[PLOM MW TOTAL BARRA B]]</f>
        <v>28.722000000000001</v>
      </c>
      <c r="F118" s="34">
        <f>TBL_CalcDarwin[[#This Row],[PLOME MW TOTAL BARRA A]]+TBL_CalcDarwin[[#This Row],[PLOME MW TOTAL BARRA B]]</f>
        <v>0.87</v>
      </c>
      <c r="G118" s="48">
        <f>'Plantilla Datos'!D123</f>
        <v>3.9</v>
      </c>
      <c r="H118" s="48">
        <f>'Plantilla Datos'!E123</f>
        <v>5.2</v>
      </c>
      <c r="I118" s="49">
        <f>'Plantilla Datos'!F123</f>
        <v>16.399999999999999</v>
      </c>
      <c r="J118" s="47">
        <f>CEILING('Plantilla Datos'!$L$3*TBL_CalcDarwin[[#This Row],[Darwin Gusts
m/s]],0.5)</f>
        <v>4</v>
      </c>
      <c r="K118" s="47">
        <f>CEILING('Plantilla Datos'!$L$4*TBL_CalcDarwin[[#This Row],[Darwin Gusts
m/s]],0.5)</f>
        <v>4.5</v>
      </c>
      <c r="L118" s="47">
        <f>CEILING(TBL_CalcDarwin[[#This Row],[Darwin Gusts
m/s]],0.5)</f>
        <v>5.5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18" s="41">
        <f>INDEX(Curva_Temp[Temp],MATCH(TBL_CalcDarwin[[#This Row],[Darwin Temp.
°C]],Curva_Temp[Temp]))</f>
        <v>15</v>
      </c>
      <c r="R118" s="41">
        <f>INDEX(Curva_Temp[Warranted Power Curve for 
1.194Kg/m3 air density '[kW']
SG 5.0-145 (AM+1, 5.2MW) AT 
90M],MATCH(TBL_CalcDarwin[[#This Row],[Darwin Temp.
°C]],Curva_Temp[Temp]))</f>
        <v>5200</v>
      </c>
      <c r="S118" s="41" cm="1">
        <f t="array" ref="S118">INDEX(Curva_Temp[Temp],MATCH(TBL_CalcDarwin[[#This Row],[Darwin Temp.
°C]],Curva_Temp[Temp])+1)</f>
        <v>20</v>
      </c>
      <c r="T118" s="41" cm="1">
        <f t="array" ref="T118">INDEX(Curva_Temp[Warranted Power Curve for 
1.194Kg/m3 air density '[kW']
SG 5.0-145 (AM+1, 5.2MW) AT 
90M],MATCH(TBL_CalcDarwin[[#This Row],[Darwin Temp.
°C]],Curva_Temp[Temp])+1)</f>
        <v>5000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18" s="41">
        <f>INDEX(Curva_Temp[Temp],MATCH(TBL_CalcDarwin[[#This Row],[Darwin Temp.
°C]],Curva_Temp[Temp]))</f>
        <v>15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20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5000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13.215999999999999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18" s="29">
        <f>TBL_CalcDarwin[[#This Row],[Expansión - Barra B - 5.2 - Cerro]]*TBL_CalcDarwin[[#This Row],[AEG 5.2 MW Cerro]]</f>
        <v>0.24399999999999999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45448.874999999724</v>
      </c>
      <c r="C119" s="17">
        <f>C118+TIME(1,0,0)</f>
        <v>4.875</v>
      </c>
      <c r="D119" s="34">
        <f>TBL_CalcDarwin[[#This Row],[Darwin PLOM
MW]]+TBL_CalcDarwin[[#This Row],[Darwin PLOME
MW]]</f>
        <v>31.571999999999999</v>
      </c>
      <c r="E119" s="34">
        <f>TBL_CalcDarwin[[#This Row],[PLOM MW TOTAL BARRA A]]+TBL_CalcDarwin[[#This Row],[PLOM MW TOTAL BARRA B]]</f>
        <v>30.536999999999999</v>
      </c>
      <c r="F119" s="34">
        <f>TBL_CalcDarwin[[#This Row],[PLOME MW TOTAL BARRA A]]+TBL_CalcDarwin[[#This Row],[PLOME MW TOTAL BARRA B]]</f>
        <v>1.0350000000000001</v>
      </c>
      <c r="G119" s="48">
        <f>'Plantilla Datos'!D124</f>
        <v>4.0999999999999996</v>
      </c>
      <c r="H119" s="48">
        <f>'Plantilla Datos'!E124</f>
        <v>5.3</v>
      </c>
      <c r="I119" s="49">
        <f>'Plantilla Datos'!F124</f>
        <v>16.600000000000001</v>
      </c>
      <c r="J119" s="47">
        <f>CEILING('Plantilla Datos'!$L$3*TBL_CalcDarwin[[#This Row],[Darwin Gusts
m/s]],0.5)</f>
        <v>4</v>
      </c>
      <c r="K119" s="47">
        <f>CEILING('Plantilla Datos'!$L$4*TBL_CalcDarwin[[#This Row],[Darwin Gusts
m/s]],0.5)</f>
        <v>5</v>
      </c>
      <c r="L119" s="47">
        <f>CEILING(TBL_CalcDarwin[[#This Row],[Darwin Gusts
m/s]],0.5)</f>
        <v>5.5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19" s="41">
        <f>INDEX(Curva_Temp[Temp],MATCH(TBL_CalcDarwin[[#This Row],[Darwin Temp.
°C]],Curva_Temp[Temp]))</f>
        <v>15</v>
      </c>
      <c r="R119" s="41">
        <f>INDEX(Curva_Temp[Warranted Power Curve for 
1.194Kg/m3 air density '[kW']
SG 5.0-145 (AM+1, 5.2MW) AT 
90M],MATCH(TBL_CalcDarwin[[#This Row],[Darwin Temp.
°C]],Curva_Temp[Temp]))</f>
        <v>5200</v>
      </c>
      <c r="S119" s="41" cm="1">
        <f t="array" ref="S119">INDEX(Curva_Temp[Temp],MATCH(TBL_CalcDarwin[[#This Row],[Darwin Temp.
°C]],Curva_Temp[Temp])+1)</f>
        <v>20</v>
      </c>
      <c r="T119" s="41" cm="1">
        <f t="array" ref="T119">INDEX(Curva_Temp[Warranted Power Curve for 
1.194Kg/m3 air density '[kW']
SG 5.0-145 (AM+1, 5.2MW) AT 
90M],MATCH(TBL_CalcDarwin[[#This Row],[Darwin Temp.
°C]],Curva_Temp[Temp])+1)</f>
        <v>5000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19" s="41">
        <f>INDEX(Curva_Temp[Temp],MATCH(TBL_CalcDarwin[[#This Row],[Darwin Temp.
°C]],Curva_Temp[Temp]))</f>
        <v>15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20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5000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19" s="29">
        <f>TBL_CalcDarwin[[#This Row],[Expansión - Barra B - 5.2 - Cerro]]*TBL_CalcDarwin[[#This Row],[AEG 5.2 MW Cerro]]</f>
        <v>0.24399999999999999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45448.916666666388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31.571999999999999</v>
      </c>
      <c r="E120" s="34">
        <f>TBL_CalcDarwin[[#This Row],[PLOM MW TOTAL BARRA A]]+TBL_CalcDarwin[[#This Row],[PLOM MW TOTAL BARRA B]]</f>
        <v>30.536999999999999</v>
      </c>
      <c r="F120" s="34">
        <f>TBL_CalcDarwin[[#This Row],[PLOME MW TOTAL BARRA A]]+TBL_CalcDarwin[[#This Row],[PLOME MW TOTAL BARRA B]]</f>
        <v>1.0350000000000001</v>
      </c>
      <c r="G120" s="48">
        <f>'Plantilla Datos'!D125</f>
        <v>4.2</v>
      </c>
      <c r="H120" s="48">
        <f>'Plantilla Datos'!E125</f>
        <v>5.5</v>
      </c>
      <c r="I120" s="49">
        <f>'Plantilla Datos'!F125</f>
        <v>16.8</v>
      </c>
      <c r="J120" s="47">
        <f>CEILING('Plantilla Datos'!$L$3*TBL_CalcDarwin[[#This Row],[Darwin Gusts
m/s]],0.5)</f>
        <v>4</v>
      </c>
      <c r="K120" s="47">
        <f>CEILING('Plantilla Datos'!$L$4*TBL_CalcDarwin[[#This Row],[Darwin Gusts
m/s]],0.5)</f>
        <v>5</v>
      </c>
      <c r="L120" s="47">
        <f>CEILING(TBL_CalcDarwin[[#This Row],[Darwin Gusts
m/s]],0.5)</f>
        <v>5.5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20" s="41">
        <f>INDEX(Curva_Temp[Temp],MATCH(TBL_CalcDarwin[[#This Row],[Darwin Temp.
°C]],Curva_Temp[Temp]))</f>
        <v>15</v>
      </c>
      <c r="R120" s="41">
        <f>INDEX(Curva_Temp[Warranted Power Curve for 
1.194Kg/m3 air density '[kW']
SG 5.0-145 (AM+1, 5.2MW) AT 
90M],MATCH(TBL_CalcDarwin[[#This Row],[Darwin Temp.
°C]],Curva_Temp[Temp]))</f>
        <v>5200</v>
      </c>
      <c r="S120" s="41" cm="1">
        <f t="array" ref="S120">INDEX(Curva_Temp[Temp],MATCH(TBL_CalcDarwin[[#This Row],[Darwin Temp.
°C]],Curva_Temp[Temp])+1)</f>
        <v>20</v>
      </c>
      <c r="T120" s="41" cm="1">
        <f t="array" ref="T120">INDEX(Curva_Temp[Warranted Power Curve for 
1.194Kg/m3 air density '[kW']
SG 5.0-145 (AM+1, 5.2MW) AT 
90M],MATCH(TBL_CalcDarwin[[#This Row],[Darwin Temp.
°C]],Curva_Temp[Temp])+1)</f>
        <v>5000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20" s="41">
        <f>INDEX(Curva_Temp[Temp],MATCH(TBL_CalcDarwin[[#This Row],[Darwin Temp.
°C]],Curva_Temp[Temp]))</f>
        <v>15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20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5000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20" s="29">
        <f>TBL_CalcDarwin[[#This Row],[Expansión - Barra B - 5.2 - Cerro]]*TBL_CalcDarwin[[#This Row],[AEG 5.2 MW Cerro]]</f>
        <v>0.24399999999999999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45448.958333333052</v>
      </c>
      <c r="C121" s="17">
        <f t="shared" si="11"/>
        <v>4.9583333333333339</v>
      </c>
      <c r="D121" s="34">
        <f>TBL_CalcDarwin[[#This Row],[Darwin PLOM
MW]]+TBL_CalcDarwin[[#This Row],[Darwin PLOME
MW]]</f>
        <v>40.074999999999996</v>
      </c>
      <c r="E121" s="34">
        <f>TBL_CalcDarwin[[#This Row],[PLOM MW TOTAL BARRA A]]+TBL_CalcDarwin[[#This Row],[PLOM MW TOTAL BARRA B]]</f>
        <v>38.763999999999996</v>
      </c>
      <c r="F121" s="34">
        <f>TBL_CalcDarwin[[#This Row],[PLOME MW TOTAL BARRA A]]+TBL_CalcDarwin[[#This Row],[PLOME MW TOTAL BARRA B]]</f>
        <v>1.3109999999999999</v>
      </c>
      <c r="G121" s="48">
        <f>'Plantilla Datos'!D126</f>
        <v>4.4000000000000004</v>
      </c>
      <c r="H121" s="48">
        <f>'Plantilla Datos'!E126</f>
        <v>5.7</v>
      </c>
      <c r="I121" s="49">
        <f>'Plantilla Datos'!F126</f>
        <v>17</v>
      </c>
      <c r="J121" s="47">
        <f>CEILING('Plantilla Datos'!$L$3*TBL_CalcDarwin[[#This Row],[Darwin Gusts
m/s]],0.5)</f>
        <v>4.5</v>
      </c>
      <c r="K121" s="47">
        <f>CEILING('Plantilla Datos'!$L$4*TBL_CalcDarwin[[#This Row],[Darwin Gusts
m/s]],0.5)</f>
        <v>5</v>
      </c>
      <c r="L121" s="47">
        <f>CEILING(TBL_CalcDarwin[[#This Row],[Darwin Gusts
m/s]],0.5)</f>
        <v>6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21" s="41">
        <f>INDEX(Curva_Temp[Temp],MATCH(TBL_CalcDarwin[[#This Row],[Darwin Temp.
°C]],Curva_Temp[Temp]))</f>
        <v>15</v>
      </c>
      <c r="R121" s="41">
        <f>INDEX(Curva_Temp[Warranted Power Curve for 
1.194Kg/m3 air density '[kW']
SG 5.0-145 (AM+1, 5.2MW) AT 
90M],MATCH(TBL_CalcDarwin[[#This Row],[Darwin Temp.
°C]],Curva_Temp[Temp]))</f>
        <v>5200</v>
      </c>
      <c r="S121" s="41" cm="1">
        <f t="array" ref="S121">INDEX(Curva_Temp[Temp],MATCH(TBL_CalcDarwin[[#This Row],[Darwin Temp.
°C]],Curva_Temp[Temp])+1)</f>
        <v>20</v>
      </c>
      <c r="T121" s="41" cm="1">
        <f t="array" ref="T121">INDEX(Curva_Temp[Warranted Power Curve for 
1.194Kg/m3 air density '[kW']
SG 5.0-145 (AM+1, 5.2MW) AT 
90M],MATCH(TBL_CalcDarwin[[#This Row],[Darwin Temp.
°C]],Curva_Temp[Temp])+1)</f>
        <v>5000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21" s="41">
        <f>INDEX(Curva_Temp[Temp],MATCH(TBL_CalcDarwin[[#This Row],[Darwin Temp.
°C]],Curva_Temp[Temp]))</f>
        <v>15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20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5000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21" s="29">
        <f>TBL_CalcDarwin[[#This Row],[Expansión - Barra B - 5.2 - Cerro]]*TBL_CalcDarwin[[#This Row],[AEG 5.2 MW Cerro]]</f>
        <v>0.38200000000000001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45448.999999999716</v>
      </c>
      <c r="C122" s="17">
        <f t="shared" si="11"/>
        <v>5.0000000000000009</v>
      </c>
      <c r="D122" s="34">
        <f>TBL_CalcDarwin[[#This Row],[Darwin PLOM
MW]]+TBL_CalcDarwin[[#This Row],[Darwin PLOME
MW]]</f>
        <v>40.722999999999999</v>
      </c>
      <c r="E122" s="34">
        <f>TBL_CalcDarwin[[#This Row],[PLOM MW TOTAL BARRA A]]+TBL_CalcDarwin[[#This Row],[PLOM MW TOTAL BARRA B]]</f>
        <v>39.213999999999999</v>
      </c>
      <c r="F122" s="34">
        <f>TBL_CalcDarwin[[#This Row],[PLOME MW TOTAL BARRA A]]+TBL_CalcDarwin[[#This Row],[PLOME MW TOTAL BARRA B]]</f>
        <v>1.5089999999999999</v>
      </c>
      <c r="G122" s="48">
        <f>'Plantilla Datos'!D127</f>
        <v>4.5</v>
      </c>
      <c r="H122" s="48">
        <f>'Plantilla Datos'!E127</f>
        <v>5.9</v>
      </c>
      <c r="I122" s="49">
        <f>'Plantilla Datos'!F127</f>
        <v>17.100000000000001</v>
      </c>
      <c r="J122" s="47">
        <f>CEILING('Plantilla Datos'!$L$3*TBL_CalcDarwin[[#This Row],[Darwin Gusts
m/s]],0.5)</f>
        <v>4.5</v>
      </c>
      <c r="K122" s="47">
        <f>CEILING('Plantilla Datos'!$L$4*TBL_CalcDarwin[[#This Row],[Darwin Gusts
m/s]],0.5)</f>
        <v>5.5</v>
      </c>
      <c r="L122" s="47">
        <f>CEILING(TBL_CalcDarwin[[#This Row],[Darwin Gusts
m/s]],0.5)</f>
        <v>6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22" s="41">
        <f>INDEX(Curva_Temp[Temp],MATCH(TBL_CalcDarwin[[#This Row],[Darwin Temp.
°C]],Curva_Temp[Temp]))</f>
        <v>15</v>
      </c>
      <c r="R122" s="41">
        <f>INDEX(Curva_Temp[Warranted Power Curve for 
1.194Kg/m3 air density '[kW']
SG 5.0-145 (AM+1, 5.2MW) AT 
90M],MATCH(TBL_CalcDarwin[[#This Row],[Darwin Temp.
°C]],Curva_Temp[Temp]))</f>
        <v>5200</v>
      </c>
      <c r="S122" s="41" cm="1">
        <f t="array" ref="S122">INDEX(Curva_Temp[Temp],MATCH(TBL_CalcDarwin[[#This Row],[Darwin Temp.
°C]],Curva_Temp[Temp])+1)</f>
        <v>20</v>
      </c>
      <c r="T122" s="41" cm="1">
        <f t="array" ref="T122">INDEX(Curva_Temp[Warranted Power Curve for 
1.194Kg/m3 air density '[kW']
SG 5.0-145 (AM+1, 5.2MW) AT 
90M],MATCH(TBL_CalcDarwin[[#This Row],[Darwin Temp.
°C]],Curva_Temp[Temp])+1)</f>
        <v>5000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22" s="41">
        <f>INDEX(Curva_Temp[Temp],MATCH(TBL_CalcDarwin[[#This Row],[Darwin Temp.
°C]],Curva_Temp[Temp]))</f>
        <v>15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20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5000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22" s="29">
        <f>TBL_CalcDarwin[[#This Row],[Expansión - Barra B - 5.2 - Cerro]]*TBL_CalcDarwin[[#This Row],[AEG 5.2 MW Cerro]]</f>
        <v>0.38200000000000001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45449.04166666638</v>
      </c>
      <c r="C123" s="17">
        <f t="shared" si="11"/>
        <v>5.0416666666666679</v>
      </c>
      <c r="D123" s="34">
        <f>TBL_CalcDarwin[[#This Row],[Darwin PLOM
MW]]+TBL_CalcDarwin[[#This Row],[Darwin PLOME
MW]]</f>
        <v>40.722999999999999</v>
      </c>
      <c r="E123" s="34">
        <f>TBL_CalcDarwin[[#This Row],[PLOM MW TOTAL BARRA A]]+TBL_CalcDarwin[[#This Row],[PLOM MW TOTAL BARRA B]]</f>
        <v>39.213999999999999</v>
      </c>
      <c r="F123" s="34">
        <f>TBL_CalcDarwin[[#This Row],[PLOME MW TOTAL BARRA A]]+TBL_CalcDarwin[[#This Row],[PLOME MW TOTAL BARRA B]]</f>
        <v>1.5089999999999999</v>
      </c>
      <c r="G123" s="48">
        <f>'Plantilla Datos'!D128</f>
        <v>4.7</v>
      </c>
      <c r="H123" s="48">
        <f>'Plantilla Datos'!E128</f>
        <v>6</v>
      </c>
      <c r="I123" s="49">
        <f>'Plantilla Datos'!F128</f>
        <v>17.3</v>
      </c>
      <c r="J123" s="47">
        <f>CEILING('Plantilla Datos'!$L$3*TBL_CalcDarwin[[#This Row],[Darwin Gusts
m/s]],0.5)</f>
        <v>4.5</v>
      </c>
      <c r="K123" s="47">
        <f>CEILING('Plantilla Datos'!$L$4*TBL_CalcDarwin[[#This Row],[Darwin Gusts
m/s]],0.5)</f>
        <v>5.5</v>
      </c>
      <c r="L123" s="47">
        <f>CEILING(TBL_CalcDarwin[[#This Row],[Darwin Gusts
m/s]],0.5)</f>
        <v>6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23" s="41">
        <f>INDEX(Curva_Temp[Temp],MATCH(TBL_CalcDarwin[[#This Row],[Darwin Temp.
°C]],Curva_Temp[Temp]))</f>
        <v>15</v>
      </c>
      <c r="R123" s="41">
        <f>INDEX(Curva_Temp[Warranted Power Curve for 
1.194Kg/m3 air density '[kW']
SG 5.0-145 (AM+1, 5.2MW) AT 
90M],MATCH(TBL_CalcDarwin[[#This Row],[Darwin Temp.
°C]],Curva_Temp[Temp]))</f>
        <v>5200</v>
      </c>
      <c r="S123" s="41" cm="1">
        <f t="array" ref="S123">INDEX(Curva_Temp[Temp],MATCH(TBL_CalcDarwin[[#This Row],[Darwin Temp.
°C]],Curva_Temp[Temp])+1)</f>
        <v>20</v>
      </c>
      <c r="T123" s="41" cm="1">
        <f t="array" ref="T123">INDEX(Curva_Temp[Warranted Power Curve for 
1.194Kg/m3 air density '[kW']
SG 5.0-145 (AM+1, 5.2MW) AT 
90M],MATCH(TBL_CalcDarwin[[#This Row],[Darwin Temp.
°C]],Curva_Temp[Temp])+1)</f>
        <v>5000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23" s="41">
        <f>INDEX(Curva_Temp[Temp],MATCH(TBL_CalcDarwin[[#This Row],[Darwin Temp.
°C]],Curva_Temp[Temp]))</f>
        <v>15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20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5000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23" s="29">
        <f>TBL_CalcDarwin[[#This Row],[Expansión - Barra B - 5.2 - Cerro]]*TBL_CalcDarwin[[#This Row],[AEG 5.2 MW Cerro]]</f>
        <v>0.38200000000000001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45449.083333333045</v>
      </c>
      <c r="C124" s="17">
        <f t="shared" si="11"/>
        <v>5.0833333333333348</v>
      </c>
      <c r="D124" s="34">
        <f>TBL_CalcDarwin[[#This Row],[Darwin PLOM
MW]]+TBL_CalcDarwin[[#This Row],[Darwin PLOME
MW]]</f>
        <v>30.28</v>
      </c>
      <c r="E124" s="34">
        <f>TBL_CalcDarwin[[#This Row],[PLOM MW TOTAL BARRA A]]+TBL_CalcDarwin[[#This Row],[PLOM MW TOTAL BARRA B]]</f>
        <v>29.245000000000001</v>
      </c>
      <c r="F124" s="34">
        <f>TBL_CalcDarwin[[#This Row],[PLOME MW TOTAL BARRA A]]+TBL_CalcDarwin[[#This Row],[PLOME MW TOTAL BARRA B]]</f>
        <v>1.0350000000000001</v>
      </c>
      <c r="G124" s="48">
        <f>'Plantilla Datos'!D129</f>
        <v>4.0999999999999996</v>
      </c>
      <c r="H124" s="48">
        <f>'Plantilla Datos'!E129</f>
        <v>5.4</v>
      </c>
      <c r="I124" s="49">
        <f>'Plantilla Datos'!F129</f>
        <v>17.2</v>
      </c>
      <c r="J124" s="47">
        <f>CEILING('Plantilla Datos'!$L$3*TBL_CalcDarwin[[#This Row],[Darwin Gusts
m/s]],0.5)</f>
        <v>4</v>
      </c>
      <c r="K124" s="47">
        <f>CEILING('Plantilla Datos'!$L$4*TBL_CalcDarwin[[#This Row],[Darwin Gusts
m/s]],0.5)</f>
        <v>5</v>
      </c>
      <c r="L124" s="47">
        <f>CEILING(TBL_CalcDarwin[[#This Row],[Darwin Gusts
m/s]],0.5)</f>
        <v>5.5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24" s="41">
        <f>INDEX(Curva_Temp[Temp],MATCH(TBL_CalcDarwin[[#This Row],[Darwin Temp.
°C]],Curva_Temp[Temp]))</f>
        <v>15</v>
      </c>
      <c r="R124" s="41">
        <f>INDEX(Curva_Temp[Warranted Power Curve for 
1.194Kg/m3 air density '[kW']
SG 5.0-145 (AM+1, 5.2MW) AT 
90M],MATCH(TBL_CalcDarwin[[#This Row],[Darwin Temp.
°C]],Curva_Temp[Temp]))</f>
        <v>5200</v>
      </c>
      <c r="S124" s="41" cm="1">
        <f t="array" ref="S124">INDEX(Curva_Temp[Temp],MATCH(TBL_CalcDarwin[[#This Row],[Darwin Temp.
°C]],Curva_Temp[Temp])+1)</f>
        <v>20</v>
      </c>
      <c r="T124" s="41" cm="1">
        <f t="array" ref="T124">INDEX(Curva_Temp[Warranted Power Curve for 
1.194Kg/m3 air density '[kW']
SG 5.0-145 (AM+1, 5.2MW) AT 
90M],MATCH(TBL_CalcDarwin[[#This Row],[Darwin Temp.
°C]],Curva_Temp[Temp])+1)</f>
        <v>5000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24" s="41">
        <f>INDEX(Curva_Temp[Temp],MATCH(TBL_CalcDarwin[[#This Row],[Darwin Temp.
°C]],Curva_Temp[Temp]))</f>
        <v>15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20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5000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24" s="29">
        <f>TBL_CalcDarwin[[#This Row],[Expansión - Barra B - 5.2 - Cerro]]*TBL_CalcDarwin[[#This Row],[AEG 5.2 MW Cerro]]</f>
        <v>0.24399999999999999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45449.124999999709</v>
      </c>
      <c r="C125" s="17">
        <f>C124+TIME(1,0,0)</f>
        <v>5.1250000000000018</v>
      </c>
      <c r="D125" s="34">
        <f>TBL_CalcDarwin[[#This Row],[Darwin PLOM
MW]]+TBL_CalcDarwin[[#This Row],[Darwin PLOME
MW]]</f>
        <v>21.591000000000001</v>
      </c>
      <c r="E125" s="34">
        <f>TBL_CalcDarwin[[#This Row],[PLOM MW TOTAL BARRA A]]+TBL_CalcDarwin[[#This Row],[PLOM MW TOTAL BARRA B]]</f>
        <v>20.949000000000002</v>
      </c>
      <c r="F125" s="34">
        <f>TBL_CalcDarwin[[#This Row],[PLOME MW TOTAL BARRA A]]+TBL_CalcDarwin[[#This Row],[PLOME MW TOTAL BARRA B]]</f>
        <v>0.64200000000000002</v>
      </c>
      <c r="G125" s="48">
        <f>'Plantilla Datos'!D130</f>
        <v>3.6</v>
      </c>
      <c r="H125" s="48">
        <f>'Plantilla Datos'!E130</f>
        <v>4.7</v>
      </c>
      <c r="I125" s="49">
        <f>'Plantilla Datos'!F130</f>
        <v>17.100000000000001</v>
      </c>
      <c r="J125" s="47">
        <f>CEILING('Plantilla Datos'!$L$3*TBL_CalcDarwin[[#This Row],[Darwin Gusts
m/s]],0.5)</f>
        <v>3.5</v>
      </c>
      <c r="K125" s="47">
        <f>CEILING('Plantilla Datos'!$L$4*TBL_CalcDarwin[[#This Row],[Darwin Gusts
m/s]],0.5)</f>
        <v>4.5</v>
      </c>
      <c r="L125" s="47">
        <f>CEILING(TBL_CalcDarwin[[#This Row],[Darwin Gusts
m/s]],0.5)</f>
        <v>5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25" s="41">
        <f>INDEX(Curva_Temp[Temp],MATCH(TBL_CalcDarwin[[#This Row],[Darwin Temp.
°C]],Curva_Temp[Temp]))</f>
        <v>15</v>
      </c>
      <c r="R125" s="41">
        <f>INDEX(Curva_Temp[Warranted Power Curve for 
1.194Kg/m3 air density '[kW']
SG 5.0-145 (AM+1, 5.2MW) AT 
90M],MATCH(TBL_CalcDarwin[[#This Row],[Darwin Temp.
°C]],Curva_Temp[Temp]))</f>
        <v>5200</v>
      </c>
      <c r="S125" s="41" cm="1">
        <f t="array" ref="S125">INDEX(Curva_Temp[Temp],MATCH(TBL_CalcDarwin[[#This Row],[Darwin Temp.
°C]],Curva_Temp[Temp])+1)</f>
        <v>20</v>
      </c>
      <c r="T125" s="41" cm="1">
        <f t="array" ref="T125">INDEX(Curva_Temp[Warranted Power Curve for 
1.194Kg/m3 air density '[kW']
SG 5.0-145 (AM+1, 5.2MW) AT 
90M],MATCH(TBL_CalcDarwin[[#This Row],[Darwin Temp.
°C]],Curva_Temp[Temp])+1)</f>
        <v>5000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25" s="41">
        <f>INDEX(Curva_Temp[Temp],MATCH(TBL_CalcDarwin[[#This Row],[Darwin Temp.
°C]],Curva_Temp[Temp]))</f>
        <v>15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20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5000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25" s="29">
        <f>TBL_CalcDarwin[[#This Row],[Expansión - Barra B - 5.2 - Cerro]]*TBL_CalcDarwin[[#This Row],[AEG 5.2 MW Cerro]]</f>
        <v>0.13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45449.166666666373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9.1110000000000007</v>
      </c>
      <c r="E126" s="34">
        <f>TBL_CalcDarwin[[#This Row],[PLOM MW TOTAL BARRA A]]+TBL_CalcDarwin[[#This Row],[PLOM MW TOTAL BARRA B]]</f>
        <v>8.8710000000000004</v>
      </c>
      <c r="F126" s="34">
        <f>TBL_CalcDarwin[[#This Row],[PLOME MW TOTAL BARRA A]]+TBL_CalcDarwin[[#This Row],[PLOME MW TOTAL BARRA B]]</f>
        <v>0.24</v>
      </c>
      <c r="G126" s="48">
        <f>'Plantilla Datos'!D131</f>
        <v>3</v>
      </c>
      <c r="H126" s="48">
        <f>'Plantilla Datos'!E131</f>
        <v>4</v>
      </c>
      <c r="I126" s="49">
        <f>'Plantilla Datos'!F131</f>
        <v>17</v>
      </c>
      <c r="J126" s="47">
        <f>CEILING('Plantilla Datos'!$L$3*TBL_CalcDarwin[[#This Row],[Darwin Gusts
m/s]],0.5)</f>
        <v>3</v>
      </c>
      <c r="K126" s="47">
        <f>CEILING('Plantilla Datos'!$L$4*TBL_CalcDarwin[[#This Row],[Darwin Gusts
m/s]],0.5)</f>
        <v>3.5</v>
      </c>
      <c r="L126" s="47">
        <f>CEILING(TBL_CalcDarwin[[#This Row],[Darwin Gusts
m/s]],0.5)</f>
        <v>4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26" s="41">
        <f>INDEX(Curva_Temp[Temp],MATCH(TBL_CalcDarwin[[#This Row],[Darwin Temp.
°C]],Curva_Temp[Temp]))</f>
        <v>15</v>
      </c>
      <c r="R126" s="41">
        <f>INDEX(Curva_Temp[Warranted Power Curve for 
1.194Kg/m3 air density '[kW']
SG 5.0-145 (AM+1, 5.2MW) AT 
90M],MATCH(TBL_CalcDarwin[[#This Row],[Darwin Temp.
°C]],Curva_Temp[Temp]))</f>
        <v>5200</v>
      </c>
      <c r="S126" s="41" cm="1">
        <f t="array" ref="S126">INDEX(Curva_Temp[Temp],MATCH(TBL_CalcDarwin[[#This Row],[Darwin Temp.
°C]],Curva_Temp[Temp])+1)</f>
        <v>20</v>
      </c>
      <c r="T126" s="41" cm="1">
        <f t="array" ref="T126">INDEX(Curva_Temp[Warranted Power Curve for 
1.194Kg/m3 air density '[kW']
SG 5.0-145 (AM+1, 5.2MW) AT 
90M],MATCH(TBL_CalcDarwin[[#This Row],[Darwin Temp.
°C]],Curva_Temp[Temp])+1)</f>
        <v>5000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26" s="41">
        <f>INDEX(Curva_Temp[Temp],MATCH(TBL_CalcDarwin[[#This Row],[Darwin Temp.
°C]],Curva_Temp[Temp]))</f>
        <v>15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20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5000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26" s="29">
        <f>TBL_CalcDarwin[[#This Row],[Expansión - Barra B - 5.2 - Cerro]]*TBL_CalcDarwin[[#This Row],[AEG 5.2 MW Cerro]]</f>
        <v>5.5E-2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45449.208333333037</v>
      </c>
      <c r="C127" s="17">
        <f t="shared" si="12"/>
        <v>5.2083333333333357</v>
      </c>
      <c r="D127" s="34">
        <f>TBL_CalcDarwin[[#This Row],[Darwin PLOM
MW]]+TBL_CalcDarwin[[#This Row],[Darwin PLOME
MW]]</f>
        <v>4.47</v>
      </c>
      <c r="E127" s="34">
        <f>TBL_CalcDarwin[[#This Row],[PLOM MW TOTAL BARRA A]]+TBL_CalcDarwin[[#This Row],[PLOM MW TOTAL BARRA B]]</f>
        <v>4.415</v>
      </c>
      <c r="F127" s="34">
        <f>TBL_CalcDarwin[[#This Row],[PLOME MW TOTAL BARRA A]]+TBL_CalcDarwin[[#This Row],[PLOME MW TOTAL BARRA B]]</f>
        <v>5.5E-2</v>
      </c>
      <c r="G127" s="48">
        <f>'Plantilla Datos'!D132</f>
        <v>2.4</v>
      </c>
      <c r="H127" s="48">
        <f>'Plantilla Datos'!E132</f>
        <v>3.3</v>
      </c>
      <c r="I127" s="49">
        <f>'Plantilla Datos'!F132</f>
        <v>16.899999999999999</v>
      </c>
      <c r="J127" s="47">
        <f>CEILING('Plantilla Datos'!$L$3*TBL_CalcDarwin[[#This Row],[Darwin Gusts
m/s]],0.5)</f>
        <v>2.5</v>
      </c>
      <c r="K127" s="47">
        <f>CEILING('Plantilla Datos'!$L$4*TBL_CalcDarwin[[#This Row],[Darwin Gusts
m/s]],0.5)</f>
        <v>3</v>
      </c>
      <c r="L127" s="47">
        <f>CEILING(TBL_CalcDarwin[[#This Row],[Darwin Gusts
m/s]],0.5)</f>
        <v>3.5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27" s="41">
        <f>INDEX(Curva_Temp[Temp],MATCH(TBL_CalcDarwin[[#This Row],[Darwin Temp.
°C]],Curva_Temp[Temp]))</f>
        <v>15</v>
      </c>
      <c r="R127" s="41">
        <f>INDEX(Curva_Temp[Warranted Power Curve for 
1.194Kg/m3 air density '[kW']
SG 5.0-145 (AM+1, 5.2MW) AT 
90M],MATCH(TBL_CalcDarwin[[#This Row],[Darwin Temp.
°C]],Curva_Temp[Temp]))</f>
        <v>5200</v>
      </c>
      <c r="S127" s="41" cm="1">
        <f t="array" ref="S127">INDEX(Curva_Temp[Temp],MATCH(TBL_CalcDarwin[[#This Row],[Darwin Temp.
°C]],Curva_Temp[Temp])+1)</f>
        <v>20</v>
      </c>
      <c r="T127" s="41" cm="1">
        <f t="array" ref="T127">INDEX(Curva_Temp[Warranted Power Curve for 
1.194Kg/m3 air density '[kW']
SG 5.0-145 (AM+1, 5.2MW) AT 
90M],MATCH(TBL_CalcDarwin[[#This Row],[Darwin Temp.
°C]],Curva_Temp[Temp])+1)</f>
        <v>5000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27" s="41">
        <f>INDEX(Curva_Temp[Temp],MATCH(TBL_CalcDarwin[[#This Row],[Darwin Temp.
°C]],Curva_Temp[Temp]))</f>
        <v>15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20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5000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27" s="29">
        <f>TBL_CalcDarwin[[#This Row],[Expansión - Barra B - 5.2 - Cerro]]*TBL_CalcDarwin[[#This Row],[AEG 5.2 MW Cerro]]</f>
        <v>0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45449.249999999702</v>
      </c>
      <c r="C128" s="17">
        <f t="shared" si="12"/>
        <v>5.2500000000000027</v>
      </c>
      <c r="D128" s="34">
        <f>TBL_CalcDarwin[[#This Row],[Darwin PLOM
MW]]+TBL_CalcDarwin[[#This Row],[Darwin PLOME
MW]]</f>
        <v>1.6360000000000001</v>
      </c>
      <c r="E128" s="34">
        <f>TBL_CalcDarwin[[#This Row],[PLOM MW TOTAL BARRA A]]+TBL_CalcDarwin[[#This Row],[PLOM MW TOTAL BARRA B]]</f>
        <v>1.6360000000000001</v>
      </c>
      <c r="F128" s="34">
        <f>TBL_CalcDarwin[[#This Row],[PLOME MW TOTAL BARRA A]]+TBL_CalcDarwin[[#This Row],[PLOME MW TOTAL BARRA B]]</f>
        <v>0</v>
      </c>
      <c r="G128" s="48">
        <f>'Plantilla Datos'!D133</f>
        <v>1.9</v>
      </c>
      <c r="H128" s="48">
        <f>'Plantilla Datos'!E133</f>
        <v>2.7</v>
      </c>
      <c r="I128" s="49">
        <f>'Plantilla Datos'!F133</f>
        <v>17</v>
      </c>
      <c r="J128" s="47">
        <f>CEILING('Plantilla Datos'!$L$3*TBL_CalcDarwin[[#This Row],[Darwin Gusts
m/s]],0.5)</f>
        <v>2</v>
      </c>
      <c r="K128" s="47">
        <f>CEILING('Plantilla Datos'!$L$4*TBL_CalcDarwin[[#This Row],[Darwin Gusts
m/s]],0.5)</f>
        <v>2.5</v>
      </c>
      <c r="L128" s="47">
        <f>CEILING(TBL_CalcDarwin[[#This Row],[Darwin Gusts
m/s]],0.5)</f>
        <v>3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28" s="41">
        <f>INDEX(Curva_Temp[Temp],MATCH(TBL_CalcDarwin[[#This Row],[Darwin Temp.
°C]],Curva_Temp[Temp]))</f>
        <v>15</v>
      </c>
      <c r="R128" s="41">
        <f>INDEX(Curva_Temp[Warranted Power Curve for 
1.194Kg/m3 air density '[kW']
SG 5.0-145 (AM+1, 5.2MW) AT 
90M],MATCH(TBL_CalcDarwin[[#This Row],[Darwin Temp.
°C]],Curva_Temp[Temp]))</f>
        <v>5200</v>
      </c>
      <c r="S128" s="41" cm="1">
        <f t="array" ref="S128">INDEX(Curva_Temp[Temp],MATCH(TBL_CalcDarwin[[#This Row],[Darwin Temp.
°C]],Curva_Temp[Temp])+1)</f>
        <v>20</v>
      </c>
      <c r="T128" s="41" cm="1">
        <f t="array" ref="T128">INDEX(Curva_Temp[Warranted Power Curve for 
1.194Kg/m3 air density '[kW']
SG 5.0-145 (AM+1, 5.2MW) AT 
90M],MATCH(TBL_CalcDarwin[[#This Row],[Darwin Temp.
°C]],Curva_Temp[Temp])+1)</f>
        <v>5000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28" s="41">
        <f>INDEX(Curva_Temp[Temp],MATCH(TBL_CalcDarwin[[#This Row],[Darwin Temp.
°C]],Curva_Temp[Temp]))</f>
        <v>15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20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5000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28" s="29">
        <f>TBL_CalcDarwin[[#This Row],[Expansión - Barra B - 5.2 - Cerro]]*TBL_CalcDarwin[[#This Row],[AEG 5.2 MW Cerro]]</f>
        <v>0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45449.291666666366</v>
      </c>
      <c r="C129" s="17">
        <f t="shared" si="12"/>
        <v>5.2916666666666696</v>
      </c>
      <c r="D129" s="34">
        <f>TBL_CalcDarwin[[#This Row],[Darwin PLOM
MW]]+TBL_CalcDarwin[[#This Row],[Darwin PLOME
MW]]</f>
        <v>0</v>
      </c>
      <c r="E129" s="34">
        <f>TBL_CalcDarwin[[#This Row],[PLOM MW TOTAL BARRA A]]+TBL_CalcDarwin[[#This Row],[PLOM MW TOTAL BARRA B]]</f>
        <v>0</v>
      </c>
      <c r="F129" s="34">
        <f>TBL_CalcDarwin[[#This Row],[PLOME MW TOTAL BARRA A]]+TBL_CalcDarwin[[#This Row],[PLOME MW TOTAL BARRA B]]</f>
        <v>0</v>
      </c>
      <c r="G129" s="48">
        <f>'Plantilla Datos'!D134</f>
        <v>1.3</v>
      </c>
      <c r="H129" s="48">
        <f>'Plantilla Datos'!E134</f>
        <v>2</v>
      </c>
      <c r="I129" s="49">
        <f>'Plantilla Datos'!F134</f>
        <v>17.2</v>
      </c>
      <c r="J129" s="47">
        <f>CEILING('Plantilla Datos'!$L$3*TBL_CalcDarwin[[#This Row],[Darwin Gusts
m/s]],0.5)</f>
        <v>1.5</v>
      </c>
      <c r="K129" s="47">
        <f>CEILING('Plantilla Datos'!$L$4*TBL_CalcDarwin[[#This Row],[Darwin Gusts
m/s]],0.5)</f>
        <v>2</v>
      </c>
      <c r="L129" s="47">
        <f>CEILING(TBL_CalcDarwin[[#This Row],[Darwin Gusts
m/s]],0.5)</f>
        <v>2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29" s="41">
        <f>INDEX(Curva_Temp[Temp],MATCH(TBL_CalcDarwin[[#This Row],[Darwin Temp.
°C]],Curva_Temp[Temp]))</f>
        <v>15</v>
      </c>
      <c r="R129" s="41">
        <f>INDEX(Curva_Temp[Warranted Power Curve for 
1.194Kg/m3 air density '[kW']
SG 5.0-145 (AM+1, 5.2MW) AT 
90M],MATCH(TBL_CalcDarwin[[#This Row],[Darwin Temp.
°C]],Curva_Temp[Temp]))</f>
        <v>5200</v>
      </c>
      <c r="S129" s="41" cm="1">
        <f t="array" ref="S129">INDEX(Curva_Temp[Temp],MATCH(TBL_CalcDarwin[[#This Row],[Darwin Temp.
°C]],Curva_Temp[Temp])+1)</f>
        <v>20</v>
      </c>
      <c r="T129" s="41" cm="1">
        <f t="array" ref="T129">INDEX(Curva_Temp[Warranted Power Curve for 
1.194Kg/m3 air density '[kW']
SG 5.0-145 (AM+1, 5.2MW) AT 
90M],MATCH(TBL_CalcDarwin[[#This Row],[Darwin Temp.
°C]],Curva_Temp[Temp])+1)</f>
        <v>5000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29" s="41">
        <f>INDEX(Curva_Temp[Temp],MATCH(TBL_CalcDarwin[[#This Row],[Darwin Temp.
°C]],Curva_Temp[Temp]))</f>
        <v>15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20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5000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29" s="29">
        <f>TBL_CalcDarwin[[#This Row],[Expansión - Barra B - 5.2 - Cerro]]*TBL_CalcDarwin[[#This Row],[AEG 5.2 MW Cerro]]</f>
        <v>0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45449.33333333303</v>
      </c>
      <c r="C130" s="17">
        <f t="shared" si="12"/>
        <v>5.3333333333333366</v>
      </c>
      <c r="D130" s="34">
        <f>TBL_CalcDarwin[[#This Row],[Darwin PLOM
MW]]+TBL_CalcDarwin[[#This Row],[Darwin PLOME
MW]]</f>
        <v>0</v>
      </c>
      <c r="E130" s="34">
        <f>TBL_CalcDarwin[[#This Row],[PLOM MW TOTAL BARRA A]]+TBL_CalcDarwin[[#This Row],[PLOM MW TOTAL BARRA B]]</f>
        <v>0</v>
      </c>
      <c r="F130" s="34">
        <f>TBL_CalcDarwin[[#This Row],[PLOME MW TOTAL BARRA A]]+TBL_CalcDarwin[[#This Row],[PLOME MW TOTAL BARRA B]]</f>
        <v>0</v>
      </c>
      <c r="G130" s="48">
        <f>'Plantilla Datos'!D135</f>
        <v>1.6</v>
      </c>
      <c r="H130" s="48">
        <f>'Plantilla Datos'!E135</f>
        <v>2.2999999999999998</v>
      </c>
      <c r="I130" s="49">
        <f>'Plantilla Datos'!F135</f>
        <v>17.399999999999999</v>
      </c>
      <c r="J130" s="47">
        <f>CEILING('Plantilla Datos'!$L$3*TBL_CalcDarwin[[#This Row],[Darwin Gusts
m/s]],0.5)</f>
        <v>2</v>
      </c>
      <c r="K130" s="47">
        <f>CEILING('Plantilla Datos'!$L$4*TBL_CalcDarwin[[#This Row],[Darwin Gusts
m/s]],0.5)</f>
        <v>2</v>
      </c>
      <c r="L130" s="47">
        <f>CEILING(TBL_CalcDarwin[[#This Row],[Darwin Gusts
m/s]],0.5)</f>
        <v>2.5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30" s="41">
        <f>INDEX(Curva_Temp[Temp],MATCH(TBL_CalcDarwin[[#This Row],[Darwin Temp.
°C]],Curva_Temp[Temp]))</f>
        <v>15</v>
      </c>
      <c r="R130" s="41">
        <f>INDEX(Curva_Temp[Warranted Power Curve for 
1.194Kg/m3 air density '[kW']
SG 5.0-145 (AM+1, 5.2MW) AT 
90M],MATCH(TBL_CalcDarwin[[#This Row],[Darwin Temp.
°C]],Curva_Temp[Temp]))</f>
        <v>5200</v>
      </c>
      <c r="S130" s="41" cm="1">
        <f t="array" ref="S130">INDEX(Curva_Temp[Temp],MATCH(TBL_CalcDarwin[[#This Row],[Darwin Temp.
°C]],Curva_Temp[Temp])+1)</f>
        <v>20</v>
      </c>
      <c r="T130" s="41" cm="1">
        <f t="array" ref="T130">INDEX(Curva_Temp[Warranted Power Curve for 
1.194Kg/m3 air density '[kW']
SG 5.0-145 (AM+1, 5.2MW) AT 
90M],MATCH(TBL_CalcDarwin[[#This Row],[Darwin Temp.
°C]],Curva_Temp[Temp])+1)</f>
        <v>5000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30" s="41">
        <f>INDEX(Curva_Temp[Temp],MATCH(TBL_CalcDarwin[[#This Row],[Darwin Temp.
°C]],Curva_Temp[Temp]))</f>
        <v>15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20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5000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30" s="29">
        <f>TBL_CalcDarwin[[#This Row],[Expansión - Barra B - 5.2 - Cerro]]*TBL_CalcDarwin[[#This Row],[AEG 5.2 MW Cerro]]</f>
        <v>0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45449.374999999694</v>
      </c>
      <c r="C131" s="17">
        <f t="shared" si="12"/>
        <v>5.3750000000000036</v>
      </c>
      <c r="D131" s="34">
        <f>TBL_CalcDarwin[[#This Row],[Darwin PLOM
MW]]+TBL_CalcDarwin[[#This Row],[Darwin PLOME
MW]]</f>
        <v>1.6360000000000001</v>
      </c>
      <c r="E131" s="34">
        <f>TBL_CalcDarwin[[#This Row],[PLOM MW TOTAL BARRA A]]+TBL_CalcDarwin[[#This Row],[PLOM MW TOTAL BARRA B]]</f>
        <v>1.6360000000000001</v>
      </c>
      <c r="F131" s="34">
        <f>TBL_CalcDarwin[[#This Row],[PLOME MW TOTAL BARRA A]]+TBL_CalcDarwin[[#This Row],[PLOME MW TOTAL BARRA B]]</f>
        <v>0</v>
      </c>
      <c r="G131" s="48">
        <f>'Plantilla Datos'!D136</f>
        <v>1.8</v>
      </c>
      <c r="H131" s="48">
        <f>'Plantilla Datos'!E136</f>
        <v>2.6</v>
      </c>
      <c r="I131" s="49">
        <f>'Plantilla Datos'!F136</f>
        <v>17.600000000000001</v>
      </c>
      <c r="J131" s="47">
        <f>CEILING('Plantilla Datos'!$L$3*TBL_CalcDarwin[[#This Row],[Darwin Gusts
m/s]],0.5)</f>
        <v>2</v>
      </c>
      <c r="K131" s="47">
        <f>CEILING('Plantilla Datos'!$L$4*TBL_CalcDarwin[[#This Row],[Darwin Gusts
m/s]],0.5)</f>
        <v>2.5</v>
      </c>
      <c r="L131" s="47">
        <f>CEILING(TBL_CalcDarwin[[#This Row],[Darwin Gusts
m/s]],0.5)</f>
        <v>3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31" s="41">
        <f>INDEX(Curva_Temp[Temp],MATCH(TBL_CalcDarwin[[#This Row],[Darwin Temp.
°C]],Curva_Temp[Temp]))</f>
        <v>15</v>
      </c>
      <c r="R131" s="41">
        <f>INDEX(Curva_Temp[Warranted Power Curve for 
1.194Kg/m3 air density '[kW']
SG 5.0-145 (AM+1, 5.2MW) AT 
90M],MATCH(TBL_CalcDarwin[[#This Row],[Darwin Temp.
°C]],Curva_Temp[Temp]))</f>
        <v>5200</v>
      </c>
      <c r="S131" s="41" cm="1">
        <f t="array" ref="S131">INDEX(Curva_Temp[Temp],MATCH(TBL_CalcDarwin[[#This Row],[Darwin Temp.
°C]],Curva_Temp[Temp])+1)</f>
        <v>20</v>
      </c>
      <c r="T131" s="41" cm="1">
        <f t="array" ref="T131">INDEX(Curva_Temp[Warranted Power Curve for 
1.194Kg/m3 air density '[kW']
SG 5.0-145 (AM+1, 5.2MW) AT 
90M],MATCH(TBL_CalcDarwin[[#This Row],[Darwin Temp.
°C]],Curva_Temp[Temp])+1)</f>
        <v>5000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31" s="41">
        <f>INDEX(Curva_Temp[Temp],MATCH(TBL_CalcDarwin[[#This Row],[Darwin Temp.
°C]],Curva_Temp[Temp]))</f>
        <v>15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20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5000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31" s="29">
        <f>TBL_CalcDarwin[[#This Row],[Expansión - Barra B - 5.2 - Cerro]]*TBL_CalcDarwin[[#This Row],[AEG 5.2 MW Cerro]]</f>
        <v>0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45449.416666666359</v>
      </c>
      <c r="C132" s="17">
        <f t="shared" si="12"/>
        <v>5.4166666666666705</v>
      </c>
      <c r="D132" s="34">
        <f>TBL_CalcDarwin[[#This Row],[Darwin PLOM
MW]]+TBL_CalcDarwin[[#This Row],[Darwin PLOME
MW]]</f>
        <v>1.6360000000000001</v>
      </c>
      <c r="E132" s="34">
        <f>TBL_CalcDarwin[[#This Row],[PLOM MW TOTAL BARRA A]]+TBL_CalcDarwin[[#This Row],[PLOM MW TOTAL BARRA B]]</f>
        <v>1.6360000000000001</v>
      </c>
      <c r="F132" s="34">
        <f>TBL_CalcDarwin[[#This Row],[PLOME MW TOTAL BARRA A]]+TBL_CalcDarwin[[#This Row],[PLOME MW TOTAL BARRA B]]</f>
        <v>0</v>
      </c>
      <c r="G132" s="48">
        <f>'Plantilla Datos'!D137</f>
        <v>2.1</v>
      </c>
      <c r="H132" s="48">
        <f>'Plantilla Datos'!E137</f>
        <v>2.9</v>
      </c>
      <c r="I132" s="49">
        <f>'Plantilla Datos'!F137</f>
        <v>17.8</v>
      </c>
      <c r="J132" s="47">
        <f>CEILING('Plantilla Datos'!$L$3*TBL_CalcDarwin[[#This Row],[Darwin Gusts
m/s]],0.5)</f>
        <v>2.5</v>
      </c>
      <c r="K132" s="47">
        <f>CEILING('Plantilla Datos'!$L$4*TBL_CalcDarwin[[#This Row],[Darwin Gusts
m/s]],0.5)</f>
        <v>2.5</v>
      </c>
      <c r="L132" s="47">
        <f>CEILING(TBL_CalcDarwin[[#This Row],[Darwin Gusts
m/s]],0.5)</f>
        <v>3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32" s="41">
        <f>INDEX(Curva_Temp[Temp],MATCH(TBL_CalcDarwin[[#This Row],[Darwin Temp.
°C]],Curva_Temp[Temp]))</f>
        <v>15</v>
      </c>
      <c r="R132" s="41">
        <f>INDEX(Curva_Temp[Warranted Power Curve for 
1.194Kg/m3 air density '[kW']
SG 5.0-145 (AM+1, 5.2MW) AT 
90M],MATCH(TBL_CalcDarwin[[#This Row],[Darwin Temp.
°C]],Curva_Temp[Temp]))</f>
        <v>5200</v>
      </c>
      <c r="S132" s="41" cm="1">
        <f t="array" ref="S132">INDEX(Curva_Temp[Temp],MATCH(TBL_CalcDarwin[[#This Row],[Darwin Temp.
°C]],Curva_Temp[Temp])+1)</f>
        <v>20</v>
      </c>
      <c r="T132" s="41" cm="1">
        <f t="array" ref="T132">INDEX(Curva_Temp[Warranted Power Curve for 
1.194Kg/m3 air density '[kW']
SG 5.0-145 (AM+1, 5.2MW) AT 
90M],MATCH(TBL_CalcDarwin[[#This Row],[Darwin Temp.
°C]],Curva_Temp[Temp])+1)</f>
        <v>5000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32" s="41">
        <f>INDEX(Curva_Temp[Temp],MATCH(TBL_CalcDarwin[[#This Row],[Darwin Temp.
°C]],Curva_Temp[Temp]))</f>
        <v>15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20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5000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32" s="29">
        <f>TBL_CalcDarwin[[#This Row],[Expansión - Barra B - 5.2 - Cerro]]*TBL_CalcDarwin[[#This Row],[AEG 5.2 MW Cerro]]</f>
        <v>0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45449.458333333023</v>
      </c>
      <c r="C133" s="17">
        <f t="shared" si="12"/>
        <v>5.4583333333333375</v>
      </c>
      <c r="D133" s="34">
        <f>TBL_CalcDarwin[[#This Row],[Darwin PLOM
MW]]+TBL_CalcDarwin[[#This Row],[Darwin PLOME
MW]]</f>
        <v>4.6549999999999994</v>
      </c>
      <c r="E133" s="34">
        <f>TBL_CalcDarwin[[#This Row],[PLOM MW TOTAL BARRA A]]+TBL_CalcDarwin[[#This Row],[PLOM MW TOTAL BARRA B]]</f>
        <v>4.5999999999999996</v>
      </c>
      <c r="F133" s="34">
        <f>TBL_CalcDarwin[[#This Row],[PLOME MW TOTAL BARRA A]]+TBL_CalcDarwin[[#This Row],[PLOME MW TOTAL BARRA B]]</f>
        <v>5.5E-2</v>
      </c>
      <c r="G133" s="48">
        <f>'Plantilla Datos'!D138</f>
        <v>2.2999999999999998</v>
      </c>
      <c r="H133" s="48">
        <f>'Plantilla Datos'!E138</f>
        <v>3.2</v>
      </c>
      <c r="I133" s="49">
        <f>'Plantilla Datos'!F138</f>
        <v>18</v>
      </c>
      <c r="J133" s="47">
        <f>CEILING('Plantilla Datos'!$L$3*TBL_CalcDarwin[[#This Row],[Darwin Gusts
m/s]],0.5)</f>
        <v>2.5</v>
      </c>
      <c r="K133" s="47">
        <f>CEILING('Plantilla Datos'!$L$4*TBL_CalcDarwin[[#This Row],[Darwin Gusts
m/s]],0.5)</f>
        <v>3</v>
      </c>
      <c r="L133" s="47">
        <f>CEILING(TBL_CalcDarwin[[#This Row],[Darwin Gusts
m/s]],0.5)</f>
        <v>3.5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33" s="41">
        <f>INDEX(Curva_Temp[Temp],MATCH(TBL_CalcDarwin[[#This Row],[Darwin Temp.
°C]],Curva_Temp[Temp]))</f>
        <v>15</v>
      </c>
      <c r="R133" s="41">
        <f>INDEX(Curva_Temp[Warranted Power Curve for 
1.194Kg/m3 air density '[kW']
SG 5.0-145 (AM+1, 5.2MW) AT 
90M],MATCH(TBL_CalcDarwin[[#This Row],[Darwin Temp.
°C]],Curva_Temp[Temp]))</f>
        <v>5200</v>
      </c>
      <c r="S133" s="41" cm="1">
        <f t="array" ref="S133">INDEX(Curva_Temp[Temp],MATCH(TBL_CalcDarwin[[#This Row],[Darwin Temp.
°C]],Curva_Temp[Temp])+1)</f>
        <v>20</v>
      </c>
      <c r="T133" s="41" cm="1">
        <f t="array" ref="T133">INDEX(Curva_Temp[Warranted Power Curve for 
1.194Kg/m3 air density '[kW']
SG 5.0-145 (AM+1, 5.2MW) AT 
90M],MATCH(TBL_CalcDarwin[[#This Row],[Darwin Temp.
°C]],Curva_Temp[Temp])+1)</f>
        <v>5000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33" s="41">
        <f>INDEX(Curva_Temp[Temp],MATCH(TBL_CalcDarwin[[#This Row],[Darwin Temp.
°C]],Curva_Temp[Temp]))</f>
        <v>15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20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5000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33" s="29">
        <f>TBL_CalcDarwin[[#This Row],[Expansión - Barra B - 5.2 - Cerro]]*TBL_CalcDarwin[[#This Row],[AEG 5.2 MW Cerro]]</f>
        <v>0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45449.499999999687</v>
      </c>
      <c r="C134" s="17">
        <f t="shared" si="12"/>
        <v>5.5000000000000044</v>
      </c>
      <c r="D134" s="34">
        <f>TBL_CalcDarwin[[#This Row],[Darwin PLOM
MW]]+TBL_CalcDarwin[[#This Row],[Darwin PLOME
MW]]</f>
        <v>5.0930000000000009</v>
      </c>
      <c r="E134" s="34">
        <f>TBL_CalcDarwin[[#This Row],[PLOM MW TOTAL BARRA A]]+TBL_CalcDarwin[[#This Row],[PLOM MW TOTAL BARRA B]]</f>
        <v>4.9280000000000008</v>
      </c>
      <c r="F134" s="34">
        <f>TBL_CalcDarwin[[#This Row],[PLOME MW TOTAL BARRA A]]+TBL_CalcDarwin[[#This Row],[PLOME MW TOTAL BARRA B]]</f>
        <v>0.16500000000000001</v>
      </c>
      <c r="G134" s="48">
        <f>'Plantilla Datos'!D139</f>
        <v>2.6</v>
      </c>
      <c r="H134" s="48">
        <f>'Plantilla Datos'!E139</f>
        <v>3.5</v>
      </c>
      <c r="I134" s="49">
        <f>'Plantilla Datos'!F139</f>
        <v>18.2</v>
      </c>
      <c r="J134" s="47">
        <f>CEILING('Plantilla Datos'!$L$3*TBL_CalcDarwin[[#This Row],[Darwin Gusts
m/s]],0.5)</f>
        <v>3</v>
      </c>
      <c r="K134" s="47">
        <f>CEILING('Plantilla Datos'!$L$4*TBL_CalcDarwin[[#This Row],[Darwin Gusts
m/s]],0.5)</f>
        <v>3</v>
      </c>
      <c r="L134" s="47">
        <f>CEILING(TBL_CalcDarwin[[#This Row],[Darwin Gusts
m/s]],0.5)</f>
        <v>3.5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34" s="41">
        <f>INDEX(Curva_Temp[Temp],MATCH(TBL_CalcDarwin[[#This Row],[Darwin Temp.
°C]],Curva_Temp[Temp]))</f>
        <v>15</v>
      </c>
      <c r="R134" s="41">
        <f>INDEX(Curva_Temp[Warranted Power Curve for 
1.194Kg/m3 air density '[kW']
SG 5.0-145 (AM+1, 5.2MW) AT 
90M],MATCH(TBL_CalcDarwin[[#This Row],[Darwin Temp.
°C]],Curva_Temp[Temp]))</f>
        <v>5200</v>
      </c>
      <c r="S134" s="41" cm="1">
        <f t="array" ref="S134">INDEX(Curva_Temp[Temp],MATCH(TBL_CalcDarwin[[#This Row],[Darwin Temp.
°C]],Curva_Temp[Temp])+1)</f>
        <v>20</v>
      </c>
      <c r="T134" s="41" cm="1">
        <f t="array" ref="T134">INDEX(Curva_Temp[Warranted Power Curve for 
1.194Kg/m3 air density '[kW']
SG 5.0-145 (AM+1, 5.2MW) AT 
90M],MATCH(TBL_CalcDarwin[[#This Row],[Darwin Temp.
°C]],Curva_Temp[Temp])+1)</f>
        <v>5000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34" s="41">
        <f>INDEX(Curva_Temp[Temp],MATCH(TBL_CalcDarwin[[#This Row],[Darwin Temp.
°C]],Curva_Temp[Temp]))</f>
        <v>15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20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5000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2.2750000000000004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2.653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134" s="29">
        <f>TBL_CalcDarwin[[#This Row],[Expansión - Barra B - 5.2 - Cerro]]*TBL_CalcDarwin[[#This Row],[AEG 5.2 MW Cerro]]</f>
        <v>5.5E-2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45449.541666666351</v>
      </c>
      <c r="C135" s="17">
        <f t="shared" si="12"/>
        <v>5.5416666666666714</v>
      </c>
      <c r="D135" s="34">
        <f>TBL_CalcDarwin[[#This Row],[Darwin PLOM
MW]]+TBL_CalcDarwin[[#This Row],[Darwin PLOME
MW]]</f>
        <v>9.4850000000000012</v>
      </c>
      <c r="E135" s="34">
        <f>TBL_CalcDarwin[[#This Row],[PLOM MW TOTAL BARRA A]]+TBL_CalcDarwin[[#This Row],[PLOM MW TOTAL BARRA B]]</f>
        <v>9.245000000000001</v>
      </c>
      <c r="F135" s="34">
        <f>TBL_CalcDarwin[[#This Row],[PLOME MW TOTAL BARRA A]]+TBL_CalcDarwin[[#This Row],[PLOME MW TOTAL BARRA B]]</f>
        <v>0.24</v>
      </c>
      <c r="G135" s="48">
        <f>'Plantilla Datos'!D140</f>
        <v>2.8</v>
      </c>
      <c r="H135" s="48">
        <f>'Plantilla Datos'!E140</f>
        <v>3.8</v>
      </c>
      <c r="I135" s="49">
        <f>'Plantilla Datos'!F140</f>
        <v>18.399999999999999</v>
      </c>
      <c r="J135" s="47">
        <f>CEILING('Plantilla Datos'!$L$3*TBL_CalcDarwin[[#This Row],[Darwin Gusts
m/s]],0.5)</f>
        <v>3</v>
      </c>
      <c r="K135" s="47">
        <f>CEILING('Plantilla Datos'!$L$4*TBL_CalcDarwin[[#This Row],[Darwin Gusts
m/s]],0.5)</f>
        <v>3.5</v>
      </c>
      <c r="L135" s="47">
        <f>CEILING(TBL_CalcDarwin[[#This Row],[Darwin Gusts
m/s]],0.5)</f>
        <v>4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35" s="41">
        <f>INDEX(Curva_Temp[Temp],MATCH(TBL_CalcDarwin[[#This Row],[Darwin Temp.
°C]],Curva_Temp[Temp]))</f>
        <v>15</v>
      </c>
      <c r="R135" s="41">
        <f>INDEX(Curva_Temp[Warranted Power Curve for 
1.194Kg/m3 air density '[kW']
SG 5.0-145 (AM+1, 5.2MW) AT 
90M],MATCH(TBL_CalcDarwin[[#This Row],[Darwin Temp.
°C]],Curva_Temp[Temp]))</f>
        <v>5200</v>
      </c>
      <c r="S135" s="41" cm="1">
        <f t="array" ref="S135">INDEX(Curva_Temp[Temp],MATCH(TBL_CalcDarwin[[#This Row],[Darwin Temp.
°C]],Curva_Temp[Temp])+1)</f>
        <v>20</v>
      </c>
      <c r="T135" s="41" cm="1">
        <f t="array" ref="T135">INDEX(Curva_Temp[Warranted Power Curve for 
1.194Kg/m3 air density '[kW']
SG 5.0-145 (AM+1, 5.2MW) AT 
90M],MATCH(TBL_CalcDarwin[[#This Row],[Darwin Temp.
°C]],Curva_Temp[Temp])+1)</f>
        <v>5000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35" s="41">
        <f>INDEX(Curva_Temp[Temp],MATCH(TBL_CalcDarwin[[#This Row],[Darwin Temp.
°C]],Curva_Temp[Temp]))</f>
        <v>15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20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5000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35" s="29">
        <f>TBL_CalcDarwin[[#This Row],[Expansión - Barra B - 5.2 - Cerro]]*TBL_CalcDarwin[[#This Row],[AEG 5.2 MW Cerro]]</f>
        <v>5.5E-2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45449.583333333016</v>
      </c>
      <c r="C136" s="17">
        <f t="shared" si="12"/>
        <v>5.5833333333333384</v>
      </c>
      <c r="D136" s="34">
        <f>TBL_CalcDarwin[[#This Row],[Darwin PLOM
MW]]+TBL_CalcDarwin[[#This Row],[Darwin PLOME
MW]]</f>
        <v>15.728</v>
      </c>
      <c r="E136" s="34">
        <f>TBL_CalcDarwin[[#This Row],[PLOM MW TOTAL BARRA A]]+TBL_CalcDarwin[[#This Row],[PLOM MW TOTAL BARRA B]]</f>
        <v>15.224</v>
      </c>
      <c r="F136" s="34">
        <f>TBL_CalcDarwin[[#This Row],[PLOME MW TOTAL BARRA A]]+TBL_CalcDarwin[[#This Row],[PLOME MW TOTAL BARRA B]]</f>
        <v>0.504</v>
      </c>
      <c r="G136" s="48">
        <f>'Plantilla Datos'!D141</f>
        <v>3.4</v>
      </c>
      <c r="H136" s="48">
        <f>'Plantilla Datos'!E141</f>
        <v>4.4000000000000004</v>
      </c>
      <c r="I136" s="49">
        <f>'Plantilla Datos'!F141</f>
        <v>18.3</v>
      </c>
      <c r="J136" s="47">
        <f>CEILING('Plantilla Datos'!$L$3*TBL_CalcDarwin[[#This Row],[Darwin Gusts
m/s]],0.5)</f>
        <v>3.5</v>
      </c>
      <c r="K136" s="47">
        <f>CEILING('Plantilla Datos'!$L$4*TBL_CalcDarwin[[#This Row],[Darwin Gusts
m/s]],0.5)</f>
        <v>4</v>
      </c>
      <c r="L136" s="47">
        <f>CEILING(TBL_CalcDarwin[[#This Row],[Darwin Gusts
m/s]],0.5)</f>
        <v>4.5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36" s="41">
        <f>INDEX(Curva_Temp[Temp],MATCH(TBL_CalcDarwin[[#This Row],[Darwin Temp.
°C]],Curva_Temp[Temp]))</f>
        <v>15</v>
      </c>
      <c r="R136" s="41">
        <f>INDEX(Curva_Temp[Warranted Power Curve for 
1.194Kg/m3 air density '[kW']
SG 5.0-145 (AM+1, 5.2MW) AT 
90M],MATCH(TBL_CalcDarwin[[#This Row],[Darwin Temp.
°C]],Curva_Temp[Temp]))</f>
        <v>5200</v>
      </c>
      <c r="S136" s="41" cm="1">
        <f t="array" ref="S136">INDEX(Curva_Temp[Temp],MATCH(TBL_CalcDarwin[[#This Row],[Darwin Temp.
°C]],Curva_Temp[Temp])+1)</f>
        <v>20</v>
      </c>
      <c r="T136" s="41" cm="1">
        <f t="array" ref="T136">INDEX(Curva_Temp[Warranted Power Curve for 
1.194Kg/m3 air density '[kW']
SG 5.0-145 (AM+1, 5.2MW) AT 
90M],MATCH(TBL_CalcDarwin[[#This Row],[Darwin Temp.
°C]],Curva_Temp[Temp])+1)</f>
        <v>5000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36" s="41">
        <f>INDEX(Curva_Temp[Temp],MATCH(TBL_CalcDarwin[[#This Row],[Darwin Temp.
°C]],Curva_Temp[Temp]))</f>
        <v>15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20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5000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36" s="29">
        <f>TBL_CalcDarwin[[#This Row],[Expansión - Barra B - 5.2 - Cerro]]*TBL_CalcDarwin[[#This Row],[AEG 5.2 MW Cerro]]</f>
        <v>0.13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45449.62499999968</v>
      </c>
      <c r="C137" s="17">
        <f t="shared" si="12"/>
        <v>5.6250000000000053</v>
      </c>
      <c r="D137" s="34">
        <f>TBL_CalcDarwin[[#This Row],[Darwin PLOM
MW]]+TBL_CalcDarwin[[#This Row],[Darwin PLOME
MW]]</f>
        <v>29.592000000000002</v>
      </c>
      <c r="E137" s="34">
        <f>TBL_CalcDarwin[[#This Row],[PLOM MW TOTAL BARRA A]]+TBL_CalcDarwin[[#This Row],[PLOM MW TOTAL BARRA B]]</f>
        <v>28.722000000000001</v>
      </c>
      <c r="F137" s="34">
        <f>TBL_CalcDarwin[[#This Row],[PLOME MW TOTAL BARRA A]]+TBL_CalcDarwin[[#This Row],[PLOME MW TOTAL BARRA B]]</f>
        <v>0.87</v>
      </c>
      <c r="G137" s="48">
        <f>'Plantilla Datos'!D142</f>
        <v>3.9</v>
      </c>
      <c r="H137" s="48">
        <f>'Plantilla Datos'!E142</f>
        <v>5.0999999999999996</v>
      </c>
      <c r="I137" s="49">
        <f>'Plantilla Datos'!F142</f>
        <v>18.3</v>
      </c>
      <c r="J137" s="47">
        <f>CEILING('Plantilla Datos'!$L$3*TBL_CalcDarwin[[#This Row],[Darwin Gusts
m/s]],0.5)</f>
        <v>4</v>
      </c>
      <c r="K137" s="47">
        <f>CEILING('Plantilla Datos'!$L$4*TBL_CalcDarwin[[#This Row],[Darwin Gusts
m/s]],0.5)</f>
        <v>4.5</v>
      </c>
      <c r="L137" s="47">
        <f>CEILING(TBL_CalcDarwin[[#This Row],[Darwin Gusts
m/s]],0.5)</f>
        <v>5.5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37" s="41">
        <f>INDEX(Curva_Temp[Temp],MATCH(TBL_CalcDarwin[[#This Row],[Darwin Temp.
°C]],Curva_Temp[Temp]))</f>
        <v>15</v>
      </c>
      <c r="R137" s="41">
        <f>INDEX(Curva_Temp[Warranted Power Curve for 
1.194Kg/m3 air density '[kW']
SG 5.0-145 (AM+1, 5.2MW) AT 
90M],MATCH(TBL_CalcDarwin[[#This Row],[Darwin Temp.
°C]],Curva_Temp[Temp]))</f>
        <v>5200</v>
      </c>
      <c r="S137" s="41" cm="1">
        <f t="array" ref="S137">INDEX(Curva_Temp[Temp],MATCH(TBL_CalcDarwin[[#This Row],[Darwin Temp.
°C]],Curva_Temp[Temp])+1)</f>
        <v>20</v>
      </c>
      <c r="T137" s="41" cm="1">
        <f t="array" ref="T137">INDEX(Curva_Temp[Warranted Power Curve for 
1.194Kg/m3 air density '[kW']
SG 5.0-145 (AM+1, 5.2MW) AT 
90M],MATCH(TBL_CalcDarwin[[#This Row],[Darwin Temp.
°C]],Curva_Temp[Temp])+1)</f>
        <v>5000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37" s="41">
        <f>INDEX(Curva_Temp[Temp],MATCH(TBL_CalcDarwin[[#This Row],[Darwin Temp.
°C]],Curva_Temp[Temp]))</f>
        <v>15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20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5000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13.215999999999999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37" s="29">
        <f>TBL_CalcDarwin[[#This Row],[Expansión - Barra B - 5.2 - Cerro]]*TBL_CalcDarwin[[#This Row],[AEG 5.2 MW Cerro]]</f>
        <v>0.24399999999999999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45449.666666666344</v>
      </c>
      <c r="C138" s="17">
        <f t="shared" si="12"/>
        <v>5.6666666666666723</v>
      </c>
      <c r="D138" s="34">
        <f>TBL_CalcDarwin[[#This Row],[Darwin PLOM
MW]]+TBL_CalcDarwin[[#This Row],[Darwin PLOME
MW]]</f>
        <v>40.074999999999996</v>
      </c>
      <c r="E138" s="34">
        <f>TBL_CalcDarwin[[#This Row],[PLOM MW TOTAL BARRA A]]+TBL_CalcDarwin[[#This Row],[PLOM MW TOTAL BARRA B]]</f>
        <v>38.763999999999996</v>
      </c>
      <c r="F138" s="34">
        <f>TBL_CalcDarwin[[#This Row],[PLOME MW TOTAL BARRA A]]+TBL_CalcDarwin[[#This Row],[PLOME MW TOTAL BARRA B]]</f>
        <v>1.3109999999999999</v>
      </c>
      <c r="G138" s="48">
        <f>'Plantilla Datos'!D143</f>
        <v>4.4000000000000004</v>
      </c>
      <c r="H138" s="48">
        <f>'Plantilla Datos'!E143</f>
        <v>5.7</v>
      </c>
      <c r="I138" s="49">
        <f>'Plantilla Datos'!F143</f>
        <v>18.2</v>
      </c>
      <c r="J138" s="47">
        <f>CEILING('Plantilla Datos'!$L$3*TBL_CalcDarwin[[#This Row],[Darwin Gusts
m/s]],0.5)</f>
        <v>4.5</v>
      </c>
      <c r="K138" s="47">
        <f>CEILING('Plantilla Datos'!$L$4*TBL_CalcDarwin[[#This Row],[Darwin Gusts
m/s]],0.5)</f>
        <v>5</v>
      </c>
      <c r="L138" s="47">
        <f>CEILING(TBL_CalcDarwin[[#This Row],[Darwin Gusts
m/s]],0.5)</f>
        <v>6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38" s="41">
        <f>INDEX(Curva_Temp[Temp],MATCH(TBL_CalcDarwin[[#This Row],[Darwin Temp.
°C]],Curva_Temp[Temp]))</f>
        <v>15</v>
      </c>
      <c r="R138" s="41">
        <f>INDEX(Curva_Temp[Warranted Power Curve for 
1.194Kg/m3 air density '[kW']
SG 5.0-145 (AM+1, 5.2MW) AT 
90M],MATCH(TBL_CalcDarwin[[#This Row],[Darwin Temp.
°C]],Curva_Temp[Temp]))</f>
        <v>5200</v>
      </c>
      <c r="S138" s="41" cm="1">
        <f t="array" ref="S138">INDEX(Curva_Temp[Temp],MATCH(TBL_CalcDarwin[[#This Row],[Darwin Temp.
°C]],Curva_Temp[Temp])+1)</f>
        <v>20</v>
      </c>
      <c r="T138" s="41" cm="1">
        <f t="array" ref="T138">INDEX(Curva_Temp[Warranted Power Curve for 
1.194Kg/m3 air density '[kW']
SG 5.0-145 (AM+1, 5.2MW) AT 
90M],MATCH(TBL_CalcDarwin[[#This Row],[Darwin Temp.
°C]],Curva_Temp[Temp])+1)</f>
        <v>5000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38" s="41">
        <f>INDEX(Curva_Temp[Temp],MATCH(TBL_CalcDarwin[[#This Row],[Darwin Temp.
°C]],Curva_Temp[Temp]))</f>
        <v>15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20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5000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38" s="29">
        <f>TBL_CalcDarwin[[#This Row],[Expansión - Barra B - 5.2 - Cerro]]*TBL_CalcDarwin[[#This Row],[AEG 5.2 MW Cerro]]</f>
        <v>0.38200000000000001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45449.708333333008</v>
      </c>
      <c r="C139" s="17">
        <f t="shared" si="12"/>
        <v>5.7083333333333393</v>
      </c>
      <c r="D139" s="34">
        <f>TBL_CalcDarwin[[#This Row],[Darwin PLOM
MW]]+TBL_CalcDarwin[[#This Row],[Darwin PLOME
MW]]</f>
        <v>52.546999999999997</v>
      </c>
      <c r="E139" s="34">
        <f>TBL_CalcDarwin[[#This Row],[PLOM MW TOTAL BARRA A]]+TBL_CalcDarwin[[#This Row],[PLOM MW TOTAL BARRA B]]</f>
        <v>50.707999999999998</v>
      </c>
      <c r="F139" s="34">
        <f>TBL_CalcDarwin[[#This Row],[PLOME MW TOTAL BARRA A]]+TBL_CalcDarwin[[#This Row],[PLOME MW TOTAL BARRA B]]</f>
        <v>1.839</v>
      </c>
      <c r="G139" s="48">
        <f>'Plantilla Datos'!D144</f>
        <v>4.9000000000000004</v>
      </c>
      <c r="H139" s="48">
        <f>'Plantilla Datos'!E144</f>
        <v>6.3</v>
      </c>
      <c r="I139" s="49">
        <f>'Plantilla Datos'!F144</f>
        <v>18.2</v>
      </c>
      <c r="J139" s="47">
        <f>CEILING('Plantilla Datos'!$L$3*TBL_CalcDarwin[[#This Row],[Darwin Gusts
m/s]],0.5)</f>
        <v>5</v>
      </c>
      <c r="K139" s="47">
        <f>CEILING('Plantilla Datos'!$L$4*TBL_CalcDarwin[[#This Row],[Darwin Gusts
m/s]],0.5)</f>
        <v>5.5</v>
      </c>
      <c r="L139" s="47">
        <f>CEILING(TBL_CalcDarwin[[#This Row],[Darwin Gusts
m/s]],0.5)</f>
        <v>6.5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39" s="41">
        <f>INDEX(Curva_Temp[Temp],MATCH(TBL_CalcDarwin[[#This Row],[Darwin Temp.
°C]],Curva_Temp[Temp]))</f>
        <v>15</v>
      </c>
      <c r="R139" s="41">
        <f>INDEX(Curva_Temp[Warranted Power Curve for 
1.194Kg/m3 air density '[kW']
SG 5.0-145 (AM+1, 5.2MW) AT 
90M],MATCH(TBL_CalcDarwin[[#This Row],[Darwin Temp.
°C]],Curva_Temp[Temp]))</f>
        <v>5200</v>
      </c>
      <c r="S139" s="41" cm="1">
        <f t="array" ref="S139">INDEX(Curva_Temp[Temp],MATCH(TBL_CalcDarwin[[#This Row],[Darwin Temp.
°C]],Curva_Temp[Temp])+1)</f>
        <v>20</v>
      </c>
      <c r="T139" s="41" cm="1">
        <f t="array" ref="T139">INDEX(Curva_Temp[Warranted Power Curve for 
1.194Kg/m3 air density '[kW']
SG 5.0-145 (AM+1, 5.2MW) AT 
90M],MATCH(TBL_CalcDarwin[[#This Row],[Darwin Temp.
°C]],Curva_Temp[Temp])+1)</f>
        <v>5000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39" s="41">
        <f>INDEX(Curva_Temp[Temp],MATCH(TBL_CalcDarwin[[#This Row],[Darwin Temp.
°C]],Curva_Temp[Temp]))</f>
        <v>15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20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5000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39" s="29">
        <f>TBL_CalcDarwin[[#This Row],[Expansión - Barra B - 5.2 - Cerro]]*TBL_CalcDarwin[[#This Row],[AEG 5.2 MW Cerro]]</f>
        <v>0.54700000000000004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45449.749999999673</v>
      </c>
      <c r="C140" s="17">
        <f t="shared" si="12"/>
        <v>5.7500000000000062</v>
      </c>
      <c r="D140" s="34">
        <f>TBL_CalcDarwin[[#This Row],[Darwin PLOM
MW]]+TBL_CalcDarwin[[#This Row],[Darwin PLOME
MW]]</f>
        <v>65.656999999999996</v>
      </c>
      <c r="E140" s="34">
        <f>TBL_CalcDarwin[[#This Row],[PLOM MW TOTAL BARRA A]]+TBL_CalcDarwin[[#This Row],[PLOM MW TOTAL BARRA B]]</f>
        <v>63.58</v>
      </c>
      <c r="F140" s="34">
        <f>TBL_CalcDarwin[[#This Row],[PLOME MW TOTAL BARRA A]]+TBL_CalcDarwin[[#This Row],[PLOME MW TOTAL BARRA B]]</f>
        <v>2.077</v>
      </c>
      <c r="G140" s="48">
        <f>'Plantilla Datos'!D145</f>
        <v>5.4</v>
      </c>
      <c r="H140" s="48">
        <f>'Plantilla Datos'!E145</f>
        <v>6.9</v>
      </c>
      <c r="I140" s="49">
        <f>'Plantilla Datos'!F145</f>
        <v>17.8</v>
      </c>
      <c r="J140" s="47">
        <f>CEILING('Plantilla Datos'!$L$3*TBL_CalcDarwin[[#This Row],[Darwin Gusts
m/s]],0.5)</f>
        <v>5</v>
      </c>
      <c r="K140" s="47">
        <f>CEILING('Plantilla Datos'!$L$4*TBL_CalcDarwin[[#This Row],[Darwin Gusts
m/s]],0.5)</f>
        <v>6</v>
      </c>
      <c r="L140" s="47">
        <f>CEILING(TBL_CalcDarwin[[#This Row],[Darwin Gusts
m/s]],0.5)</f>
        <v>7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40" s="41">
        <f>INDEX(Curva_Temp[Temp],MATCH(TBL_CalcDarwin[[#This Row],[Darwin Temp.
°C]],Curva_Temp[Temp]))</f>
        <v>15</v>
      </c>
      <c r="R140" s="41">
        <f>INDEX(Curva_Temp[Warranted Power Curve for 
1.194Kg/m3 air density '[kW']
SG 5.0-145 (AM+1, 5.2MW) AT 
90M],MATCH(TBL_CalcDarwin[[#This Row],[Darwin Temp.
°C]],Curva_Temp[Temp]))</f>
        <v>5200</v>
      </c>
      <c r="S140" s="41" cm="1">
        <f t="array" ref="S140">INDEX(Curva_Temp[Temp],MATCH(TBL_CalcDarwin[[#This Row],[Darwin Temp.
°C]],Curva_Temp[Temp])+1)</f>
        <v>20</v>
      </c>
      <c r="T140" s="41" cm="1">
        <f t="array" ref="T140">INDEX(Curva_Temp[Warranted Power Curve for 
1.194Kg/m3 air density '[kW']
SG 5.0-145 (AM+1, 5.2MW) AT 
90M],MATCH(TBL_CalcDarwin[[#This Row],[Darwin Temp.
°C]],Curva_Temp[Temp])+1)</f>
        <v>5000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40" s="41">
        <f>INDEX(Curva_Temp[Temp],MATCH(TBL_CalcDarwin[[#This Row],[Darwin Temp.
°C]],Curva_Temp[Temp]))</f>
        <v>15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20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5000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40" s="29">
        <f>TBL_CalcDarwin[[#This Row],[Expansión - Barra B - 5.2 - Cerro]]*TBL_CalcDarwin[[#This Row],[AEG 5.2 MW Cerro]]</f>
        <v>0.54700000000000004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45449.791666666337</v>
      </c>
      <c r="C141" s="17">
        <f t="shared" si="12"/>
        <v>5.7916666666666732</v>
      </c>
      <c r="D141" s="34">
        <f>TBL_CalcDarwin[[#This Row],[Darwin PLOM
MW]]+TBL_CalcDarwin[[#This Row],[Darwin PLOME
MW]]</f>
        <v>95.75</v>
      </c>
      <c r="E141" s="34">
        <f>TBL_CalcDarwin[[#This Row],[PLOM MW TOTAL BARRA A]]+TBL_CalcDarwin[[#This Row],[PLOM MW TOTAL BARRA B]]</f>
        <v>92.994</v>
      </c>
      <c r="F141" s="34">
        <f>TBL_CalcDarwin[[#This Row],[PLOME MW TOTAL BARRA A]]+TBL_CalcDarwin[[#This Row],[PLOME MW TOTAL BARRA B]]</f>
        <v>2.7560000000000002</v>
      </c>
      <c r="G141" s="48">
        <f>'Plantilla Datos'!D146</f>
        <v>6</v>
      </c>
      <c r="H141" s="48">
        <f>'Plantilla Datos'!E146</f>
        <v>7.6</v>
      </c>
      <c r="I141" s="49">
        <f>'Plantilla Datos'!F146</f>
        <v>17.600000000000001</v>
      </c>
      <c r="J141" s="47">
        <f>CEILING('Plantilla Datos'!$L$3*TBL_CalcDarwin[[#This Row],[Darwin Gusts
m/s]],0.5)</f>
        <v>5.5</v>
      </c>
      <c r="K141" s="47">
        <f>CEILING('Plantilla Datos'!$L$4*TBL_CalcDarwin[[#This Row],[Darwin Gusts
m/s]],0.5)</f>
        <v>6.5</v>
      </c>
      <c r="L141" s="47">
        <f>CEILING(TBL_CalcDarwin[[#This Row],[Darwin Gusts
m/s]],0.5)</f>
        <v>8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41" s="41">
        <f>INDEX(Curva_Temp[Temp],MATCH(TBL_CalcDarwin[[#This Row],[Darwin Temp.
°C]],Curva_Temp[Temp]))</f>
        <v>15</v>
      </c>
      <c r="R141" s="41">
        <f>INDEX(Curva_Temp[Warranted Power Curve for 
1.194Kg/m3 air density '[kW']
SG 5.0-145 (AM+1, 5.2MW) AT 
90M],MATCH(TBL_CalcDarwin[[#This Row],[Darwin Temp.
°C]],Curva_Temp[Temp]))</f>
        <v>5200</v>
      </c>
      <c r="S141" s="41" cm="1">
        <f t="array" ref="S141">INDEX(Curva_Temp[Temp],MATCH(TBL_CalcDarwin[[#This Row],[Darwin Temp.
°C]],Curva_Temp[Temp])+1)</f>
        <v>20</v>
      </c>
      <c r="T141" s="41" cm="1">
        <f t="array" ref="T141">INDEX(Curva_Temp[Warranted Power Curve for 
1.194Kg/m3 air density '[kW']
SG 5.0-145 (AM+1, 5.2MW) AT 
90M],MATCH(TBL_CalcDarwin[[#This Row],[Darwin Temp.
°C]],Curva_Temp[Temp])+1)</f>
        <v>5000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41" s="41">
        <f>INDEX(Curva_Temp[Temp],MATCH(TBL_CalcDarwin[[#This Row],[Darwin Temp.
°C]],Curva_Temp[Temp]))</f>
        <v>15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20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5000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41" s="29">
        <f>TBL_CalcDarwin[[#This Row],[Expansión - Barra B - 5.2 - Cerro]]*TBL_CalcDarwin[[#This Row],[AEG 5.2 MW Cerro]]</f>
        <v>0.745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45449.833333333001</v>
      </c>
      <c r="C142" s="17">
        <f t="shared" si="12"/>
        <v>5.8333333333333401</v>
      </c>
      <c r="D142" s="34">
        <f>TBL_CalcDarwin[[#This Row],[Darwin PLOM
MW]]+TBL_CalcDarwin[[#This Row],[Darwin PLOME
MW]]</f>
        <v>82.430999999999997</v>
      </c>
      <c r="E142" s="34">
        <f>TBL_CalcDarwin[[#This Row],[PLOM MW TOTAL BARRA A]]+TBL_CalcDarwin[[#This Row],[PLOM MW TOTAL BARRA B]]</f>
        <v>79.674999999999997</v>
      </c>
      <c r="F142" s="34">
        <f>TBL_CalcDarwin[[#This Row],[PLOME MW TOTAL BARRA A]]+TBL_CalcDarwin[[#This Row],[PLOME MW TOTAL BARRA B]]</f>
        <v>2.7560000000000002</v>
      </c>
      <c r="G142" s="48">
        <f>'Plantilla Datos'!D147</f>
        <v>5.9</v>
      </c>
      <c r="H142" s="48">
        <f>'Plantilla Datos'!E147</f>
        <v>7.4</v>
      </c>
      <c r="I142" s="49">
        <f>'Plantilla Datos'!F147</f>
        <v>17.600000000000001</v>
      </c>
      <c r="J142" s="47">
        <f>CEILING('Plantilla Datos'!$L$3*TBL_CalcDarwin[[#This Row],[Darwin Gusts
m/s]],0.5)</f>
        <v>5.5</v>
      </c>
      <c r="K142" s="47">
        <f>CEILING('Plantilla Datos'!$L$4*TBL_CalcDarwin[[#This Row],[Darwin Gusts
m/s]],0.5)</f>
        <v>6.5</v>
      </c>
      <c r="L142" s="47">
        <f>CEILING(TBL_CalcDarwin[[#This Row],[Darwin Gusts
m/s]],0.5)</f>
        <v>7.5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42" s="41">
        <f>INDEX(Curva_Temp[Temp],MATCH(TBL_CalcDarwin[[#This Row],[Darwin Temp.
°C]],Curva_Temp[Temp]))</f>
        <v>15</v>
      </c>
      <c r="R142" s="41">
        <f>INDEX(Curva_Temp[Warranted Power Curve for 
1.194Kg/m3 air density '[kW']
SG 5.0-145 (AM+1, 5.2MW) AT 
90M],MATCH(TBL_CalcDarwin[[#This Row],[Darwin Temp.
°C]],Curva_Temp[Temp]))</f>
        <v>5200</v>
      </c>
      <c r="S142" s="41" cm="1">
        <f t="array" ref="S142">INDEX(Curva_Temp[Temp],MATCH(TBL_CalcDarwin[[#This Row],[Darwin Temp.
°C]],Curva_Temp[Temp])+1)</f>
        <v>20</v>
      </c>
      <c r="T142" s="41" cm="1">
        <f t="array" ref="T142">INDEX(Curva_Temp[Warranted Power Curve for 
1.194Kg/m3 air density '[kW']
SG 5.0-145 (AM+1, 5.2MW) AT 
90M],MATCH(TBL_CalcDarwin[[#This Row],[Darwin Temp.
°C]],Curva_Temp[Temp])+1)</f>
        <v>5000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42" s="41">
        <f>INDEX(Curva_Temp[Temp],MATCH(TBL_CalcDarwin[[#This Row],[Darwin Temp.
°C]],Curva_Temp[Temp]))</f>
        <v>15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20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5000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42" s="29">
        <f>TBL_CalcDarwin[[#This Row],[Expansión - Barra B - 5.2 - Cerro]]*TBL_CalcDarwin[[#This Row],[AEG 5.2 MW Cerro]]</f>
        <v>0.745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45449.874999999665</v>
      </c>
      <c r="C143" s="17">
        <f>C142+TIME(1,0,0)</f>
        <v>5.8750000000000071</v>
      </c>
      <c r="D143" s="34">
        <f>TBL_CalcDarwin[[#This Row],[Darwin PLOM
MW]]+TBL_CalcDarwin[[#This Row],[Darwin PLOME
MW]]</f>
        <v>82.430999999999997</v>
      </c>
      <c r="E143" s="34">
        <f>TBL_CalcDarwin[[#This Row],[PLOM MW TOTAL BARRA A]]+TBL_CalcDarwin[[#This Row],[PLOM MW TOTAL BARRA B]]</f>
        <v>79.674999999999997</v>
      </c>
      <c r="F143" s="34">
        <f>TBL_CalcDarwin[[#This Row],[PLOME MW TOTAL BARRA A]]+TBL_CalcDarwin[[#This Row],[PLOME MW TOTAL BARRA B]]</f>
        <v>2.7560000000000002</v>
      </c>
      <c r="G143" s="48">
        <f>'Plantilla Datos'!D148</f>
        <v>5.8</v>
      </c>
      <c r="H143" s="48">
        <f>'Plantilla Datos'!E148</f>
        <v>7.3</v>
      </c>
      <c r="I143" s="49">
        <f>'Plantilla Datos'!F148</f>
        <v>17.5</v>
      </c>
      <c r="J143" s="47">
        <f>CEILING('Plantilla Datos'!$L$3*TBL_CalcDarwin[[#This Row],[Darwin Gusts
m/s]],0.5)</f>
        <v>5.5</v>
      </c>
      <c r="K143" s="47">
        <f>CEILING('Plantilla Datos'!$L$4*TBL_CalcDarwin[[#This Row],[Darwin Gusts
m/s]],0.5)</f>
        <v>6.5</v>
      </c>
      <c r="L143" s="47">
        <f>CEILING(TBL_CalcDarwin[[#This Row],[Darwin Gusts
m/s]],0.5)</f>
        <v>7.5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43" s="41">
        <f>INDEX(Curva_Temp[Temp],MATCH(TBL_CalcDarwin[[#This Row],[Darwin Temp.
°C]],Curva_Temp[Temp]))</f>
        <v>15</v>
      </c>
      <c r="R143" s="41">
        <f>INDEX(Curva_Temp[Warranted Power Curve for 
1.194Kg/m3 air density '[kW']
SG 5.0-145 (AM+1, 5.2MW) AT 
90M],MATCH(TBL_CalcDarwin[[#This Row],[Darwin Temp.
°C]],Curva_Temp[Temp]))</f>
        <v>5200</v>
      </c>
      <c r="S143" s="41" cm="1">
        <f t="array" ref="S143">INDEX(Curva_Temp[Temp],MATCH(TBL_CalcDarwin[[#This Row],[Darwin Temp.
°C]],Curva_Temp[Temp])+1)</f>
        <v>20</v>
      </c>
      <c r="T143" s="41" cm="1">
        <f t="array" ref="T143">INDEX(Curva_Temp[Warranted Power Curve for 
1.194Kg/m3 air density '[kW']
SG 5.0-145 (AM+1, 5.2MW) AT 
90M],MATCH(TBL_CalcDarwin[[#This Row],[Darwin Temp.
°C]],Curva_Temp[Temp])+1)</f>
        <v>5000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43" s="41">
        <f>INDEX(Curva_Temp[Temp],MATCH(TBL_CalcDarwin[[#This Row],[Darwin Temp.
°C]],Curva_Temp[Temp]))</f>
        <v>15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20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5000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43" s="29">
        <f>TBL_CalcDarwin[[#This Row],[Expansión - Barra B - 5.2 - Cerro]]*TBL_CalcDarwin[[#This Row],[AEG 5.2 MW Cerro]]</f>
        <v>0.745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45449.91666666633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82.430999999999997</v>
      </c>
      <c r="E144" s="34">
        <f>TBL_CalcDarwin[[#This Row],[PLOM MW TOTAL BARRA A]]+TBL_CalcDarwin[[#This Row],[PLOM MW TOTAL BARRA B]]</f>
        <v>79.674999999999997</v>
      </c>
      <c r="F144" s="34">
        <f>TBL_CalcDarwin[[#This Row],[PLOME MW TOTAL BARRA A]]+TBL_CalcDarwin[[#This Row],[PLOME MW TOTAL BARRA B]]</f>
        <v>2.7560000000000002</v>
      </c>
      <c r="G144" s="48">
        <f>'Plantilla Datos'!D149</f>
        <v>5.7</v>
      </c>
      <c r="H144" s="48">
        <f>'Plantilla Datos'!E149</f>
        <v>7.2</v>
      </c>
      <c r="I144" s="49">
        <f>'Plantilla Datos'!F149</f>
        <v>17.5</v>
      </c>
      <c r="J144" s="47">
        <f>CEILING('Plantilla Datos'!$L$3*TBL_CalcDarwin[[#This Row],[Darwin Gusts
m/s]],0.5)</f>
        <v>5.5</v>
      </c>
      <c r="K144" s="47">
        <f>CEILING('Plantilla Datos'!$L$4*TBL_CalcDarwin[[#This Row],[Darwin Gusts
m/s]],0.5)</f>
        <v>6.5</v>
      </c>
      <c r="L144" s="47">
        <f>CEILING(TBL_CalcDarwin[[#This Row],[Darwin Gusts
m/s]],0.5)</f>
        <v>7.5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44" s="41">
        <f>INDEX(Curva_Temp[Temp],MATCH(TBL_CalcDarwin[[#This Row],[Darwin Temp.
°C]],Curva_Temp[Temp]))</f>
        <v>15</v>
      </c>
      <c r="R144" s="41">
        <f>INDEX(Curva_Temp[Warranted Power Curve for 
1.194Kg/m3 air density '[kW']
SG 5.0-145 (AM+1, 5.2MW) AT 
90M],MATCH(TBL_CalcDarwin[[#This Row],[Darwin Temp.
°C]],Curva_Temp[Temp]))</f>
        <v>5200</v>
      </c>
      <c r="S144" s="41" cm="1">
        <f t="array" ref="S144">INDEX(Curva_Temp[Temp],MATCH(TBL_CalcDarwin[[#This Row],[Darwin Temp.
°C]],Curva_Temp[Temp])+1)</f>
        <v>20</v>
      </c>
      <c r="T144" s="41" cm="1">
        <f t="array" ref="T144">INDEX(Curva_Temp[Warranted Power Curve for 
1.194Kg/m3 air density '[kW']
SG 5.0-145 (AM+1, 5.2MW) AT 
90M],MATCH(TBL_CalcDarwin[[#This Row],[Darwin Temp.
°C]],Curva_Temp[Temp])+1)</f>
        <v>5000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44" s="41">
        <f>INDEX(Curva_Temp[Temp],MATCH(TBL_CalcDarwin[[#This Row],[Darwin Temp.
°C]],Curva_Temp[Temp]))</f>
        <v>15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20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5000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44" s="29">
        <f>TBL_CalcDarwin[[#This Row],[Expansión - Barra B - 5.2 - Cerro]]*TBL_CalcDarwin[[#This Row],[AEG 5.2 MW Cerro]]</f>
        <v>0.745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45449.958333332994</v>
      </c>
      <c r="C145" s="17">
        <f t="shared" si="14"/>
        <v>5.958333333333341</v>
      </c>
      <c r="D145" s="34">
        <f>TBL_CalcDarwin[[#This Row],[Darwin PLOM
MW]]+TBL_CalcDarwin[[#This Row],[Darwin PLOME
MW]]</f>
        <v>82.430999999999997</v>
      </c>
      <c r="E145" s="34">
        <f>TBL_CalcDarwin[[#This Row],[PLOM MW TOTAL BARRA A]]+TBL_CalcDarwin[[#This Row],[PLOM MW TOTAL BARRA B]]</f>
        <v>79.674999999999997</v>
      </c>
      <c r="F145" s="34">
        <f>TBL_CalcDarwin[[#This Row],[PLOME MW TOTAL BARRA A]]+TBL_CalcDarwin[[#This Row],[PLOME MW TOTAL BARRA B]]</f>
        <v>2.7560000000000002</v>
      </c>
      <c r="G145" s="48">
        <f>'Plantilla Datos'!D150</f>
        <v>5.6</v>
      </c>
      <c r="H145" s="48">
        <f>'Plantilla Datos'!E150</f>
        <v>7.1</v>
      </c>
      <c r="I145" s="49">
        <f>'Plantilla Datos'!F150</f>
        <v>17.399999999999999</v>
      </c>
      <c r="J145" s="47">
        <f>CEILING('Plantilla Datos'!$L$3*TBL_CalcDarwin[[#This Row],[Darwin Gusts
m/s]],0.5)</f>
        <v>5.5</v>
      </c>
      <c r="K145" s="47">
        <f>CEILING('Plantilla Datos'!$L$4*TBL_CalcDarwin[[#This Row],[Darwin Gusts
m/s]],0.5)</f>
        <v>6.5</v>
      </c>
      <c r="L145" s="47">
        <f>CEILING(TBL_CalcDarwin[[#This Row],[Darwin Gusts
m/s]],0.5)</f>
        <v>7.5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45" s="41">
        <f>INDEX(Curva_Temp[Temp],MATCH(TBL_CalcDarwin[[#This Row],[Darwin Temp.
°C]],Curva_Temp[Temp]))</f>
        <v>15</v>
      </c>
      <c r="R145" s="41">
        <f>INDEX(Curva_Temp[Warranted Power Curve for 
1.194Kg/m3 air density '[kW']
SG 5.0-145 (AM+1, 5.2MW) AT 
90M],MATCH(TBL_CalcDarwin[[#This Row],[Darwin Temp.
°C]],Curva_Temp[Temp]))</f>
        <v>5200</v>
      </c>
      <c r="S145" s="41" cm="1">
        <f t="array" ref="S145">INDEX(Curva_Temp[Temp],MATCH(TBL_CalcDarwin[[#This Row],[Darwin Temp.
°C]],Curva_Temp[Temp])+1)</f>
        <v>20</v>
      </c>
      <c r="T145" s="41" cm="1">
        <f t="array" ref="T145">INDEX(Curva_Temp[Warranted Power Curve for 
1.194Kg/m3 air density '[kW']
SG 5.0-145 (AM+1, 5.2MW) AT 
90M],MATCH(TBL_CalcDarwin[[#This Row],[Darwin Temp.
°C]],Curva_Temp[Temp])+1)</f>
        <v>5000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45" s="41">
        <f>INDEX(Curva_Temp[Temp],MATCH(TBL_CalcDarwin[[#This Row],[Darwin Temp.
°C]],Curva_Temp[Temp]))</f>
        <v>15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20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5000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45" s="29">
        <f>TBL_CalcDarwin[[#This Row],[Expansión - Barra B - 5.2 - Cerro]]*TBL_CalcDarwin[[#This Row],[AEG 5.2 MW Cerro]]</f>
        <v>0.745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45449.999999999658</v>
      </c>
      <c r="C146" s="17">
        <f t="shared" si="14"/>
        <v>6.000000000000008</v>
      </c>
      <c r="D146" s="34">
        <f>TBL_CalcDarwin[[#This Row],[Darwin PLOM
MW]]+TBL_CalcDarwin[[#This Row],[Darwin PLOME
MW]]</f>
        <v>64.665000000000006</v>
      </c>
      <c r="E146" s="34">
        <f>TBL_CalcDarwin[[#This Row],[PLOM MW TOTAL BARRA A]]+TBL_CalcDarwin[[#This Row],[PLOM MW TOTAL BARRA B]]</f>
        <v>62.192</v>
      </c>
      <c r="F146" s="34">
        <f>TBL_CalcDarwin[[#This Row],[PLOME MW TOTAL BARRA A]]+TBL_CalcDarwin[[#This Row],[PLOME MW TOTAL BARRA B]]</f>
        <v>2.4729999999999999</v>
      </c>
      <c r="G146" s="48">
        <f>'Plantilla Datos'!D151</f>
        <v>5.4</v>
      </c>
      <c r="H146" s="48">
        <f>'Plantilla Datos'!E151</f>
        <v>7</v>
      </c>
      <c r="I146" s="49">
        <f>'Plantilla Datos'!F151</f>
        <v>17.399999999999999</v>
      </c>
      <c r="J146" s="47">
        <f>CEILING('Plantilla Datos'!$L$3*TBL_CalcDarwin[[#This Row],[Darwin Gusts
m/s]],0.5)</f>
        <v>5.5</v>
      </c>
      <c r="K146" s="47">
        <f>CEILING('Plantilla Datos'!$L$4*TBL_CalcDarwin[[#This Row],[Darwin Gusts
m/s]],0.5)</f>
        <v>6</v>
      </c>
      <c r="L146" s="47">
        <f>CEILING(TBL_CalcDarwin[[#This Row],[Darwin Gusts
m/s]],0.5)</f>
        <v>7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46" s="41">
        <f>INDEX(Curva_Temp[Temp],MATCH(TBL_CalcDarwin[[#This Row],[Darwin Temp.
°C]],Curva_Temp[Temp]))</f>
        <v>15</v>
      </c>
      <c r="R146" s="41">
        <f>INDEX(Curva_Temp[Warranted Power Curve for 
1.194Kg/m3 air density '[kW']
SG 5.0-145 (AM+1, 5.2MW) AT 
90M],MATCH(TBL_CalcDarwin[[#This Row],[Darwin Temp.
°C]],Curva_Temp[Temp]))</f>
        <v>5200</v>
      </c>
      <c r="S146" s="41" cm="1">
        <f t="array" ref="S146">INDEX(Curva_Temp[Temp],MATCH(TBL_CalcDarwin[[#This Row],[Darwin Temp.
°C]],Curva_Temp[Temp])+1)</f>
        <v>20</v>
      </c>
      <c r="T146" s="41" cm="1">
        <f t="array" ref="T146">INDEX(Curva_Temp[Warranted Power Curve for 
1.194Kg/m3 air density '[kW']
SG 5.0-145 (AM+1, 5.2MW) AT 
90M],MATCH(TBL_CalcDarwin[[#This Row],[Darwin Temp.
°C]],Curva_Temp[Temp])+1)</f>
        <v>5000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46" s="41">
        <f>INDEX(Curva_Temp[Temp],MATCH(TBL_CalcDarwin[[#This Row],[Darwin Temp.
°C]],Curva_Temp[Temp]))</f>
        <v>15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20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5000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46" s="29">
        <f>TBL_CalcDarwin[[#This Row],[Expansión - Barra B - 5.2 - Cerro]]*TBL_CalcDarwin[[#This Row],[AEG 5.2 MW Cerro]]</f>
        <v>0.745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45450.041666666322</v>
      </c>
      <c r="C147" s="17">
        <f t="shared" si="14"/>
        <v>6.041666666666675</v>
      </c>
      <c r="D147" s="34">
        <f>TBL_CalcDarwin[[#This Row],[Darwin PLOM
MW]]+TBL_CalcDarwin[[#This Row],[Darwin PLOME
MW]]</f>
        <v>63.076999999999998</v>
      </c>
      <c r="E147" s="34">
        <f>TBL_CalcDarwin[[#This Row],[PLOM MW TOTAL BARRA A]]+TBL_CalcDarwin[[#This Row],[PLOM MW TOTAL BARRA B]]</f>
        <v>61</v>
      </c>
      <c r="F147" s="34">
        <f>TBL_CalcDarwin[[#This Row],[PLOME MW TOTAL BARRA A]]+TBL_CalcDarwin[[#This Row],[PLOME MW TOTAL BARRA B]]</f>
        <v>2.077</v>
      </c>
      <c r="G147" s="48">
        <f>'Plantilla Datos'!D152</f>
        <v>5.3</v>
      </c>
      <c r="H147" s="48">
        <f>'Plantilla Datos'!E152</f>
        <v>6.8</v>
      </c>
      <c r="I147" s="49">
        <f>'Plantilla Datos'!F152</f>
        <v>17.3</v>
      </c>
      <c r="J147" s="47">
        <f>CEILING('Plantilla Datos'!$L$3*TBL_CalcDarwin[[#This Row],[Darwin Gusts
m/s]],0.5)</f>
        <v>5</v>
      </c>
      <c r="K147" s="47">
        <f>CEILING('Plantilla Datos'!$L$4*TBL_CalcDarwin[[#This Row],[Darwin Gusts
m/s]],0.5)</f>
        <v>6</v>
      </c>
      <c r="L147" s="47">
        <f>CEILING(TBL_CalcDarwin[[#This Row],[Darwin Gusts
m/s]],0.5)</f>
        <v>7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47" s="41">
        <f>INDEX(Curva_Temp[Temp],MATCH(TBL_CalcDarwin[[#This Row],[Darwin Temp.
°C]],Curva_Temp[Temp]))</f>
        <v>15</v>
      </c>
      <c r="R147" s="41">
        <f>INDEX(Curva_Temp[Warranted Power Curve for 
1.194Kg/m3 air density '[kW']
SG 5.0-145 (AM+1, 5.2MW) AT 
90M],MATCH(TBL_CalcDarwin[[#This Row],[Darwin Temp.
°C]],Curva_Temp[Temp]))</f>
        <v>5200</v>
      </c>
      <c r="S147" s="41" cm="1">
        <f t="array" ref="S147">INDEX(Curva_Temp[Temp],MATCH(TBL_CalcDarwin[[#This Row],[Darwin Temp.
°C]],Curva_Temp[Temp])+1)</f>
        <v>20</v>
      </c>
      <c r="T147" s="41" cm="1">
        <f t="array" ref="T147">INDEX(Curva_Temp[Warranted Power Curve for 
1.194Kg/m3 air density '[kW']
SG 5.0-145 (AM+1, 5.2MW) AT 
90M],MATCH(TBL_CalcDarwin[[#This Row],[Darwin Temp.
°C]],Curva_Temp[Temp])+1)</f>
        <v>5000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47" s="41">
        <f>INDEX(Curva_Temp[Temp],MATCH(TBL_CalcDarwin[[#This Row],[Darwin Temp.
°C]],Curva_Temp[Temp]))</f>
        <v>15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20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5000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47" s="29">
        <f>TBL_CalcDarwin[[#This Row],[Expansión - Barra B - 5.2 - Cerro]]*TBL_CalcDarwin[[#This Row],[AEG 5.2 MW Cerro]]</f>
        <v>0.54700000000000004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45450.083333332987</v>
      </c>
      <c r="C148" s="17">
        <f t="shared" si="14"/>
        <v>6.0833333333333419</v>
      </c>
      <c r="D148" s="34">
        <f>TBL_CalcDarwin[[#This Row],[Darwin PLOM
MW]]+TBL_CalcDarwin[[#This Row],[Darwin PLOME
MW]]</f>
        <v>49.213000000000001</v>
      </c>
      <c r="E148" s="34">
        <f>TBL_CalcDarwin[[#This Row],[PLOM MW TOTAL BARRA A]]+TBL_CalcDarwin[[#This Row],[PLOM MW TOTAL BARRA B]]</f>
        <v>47.704000000000001</v>
      </c>
      <c r="F148" s="34">
        <f>TBL_CalcDarwin[[#This Row],[PLOME MW TOTAL BARRA A]]+TBL_CalcDarwin[[#This Row],[PLOME MW TOTAL BARRA B]]</f>
        <v>1.5089999999999999</v>
      </c>
      <c r="G148" s="48">
        <f>'Plantilla Datos'!D153</f>
        <v>4.7</v>
      </c>
      <c r="H148" s="48">
        <f>'Plantilla Datos'!E153</f>
        <v>6.1</v>
      </c>
      <c r="I148" s="49">
        <f>'Plantilla Datos'!F153</f>
        <v>17.3</v>
      </c>
      <c r="J148" s="47">
        <f>CEILING('Plantilla Datos'!$L$3*TBL_CalcDarwin[[#This Row],[Darwin Gusts
m/s]],0.5)</f>
        <v>4.5</v>
      </c>
      <c r="K148" s="47">
        <f>CEILING('Plantilla Datos'!$L$4*TBL_CalcDarwin[[#This Row],[Darwin Gusts
m/s]],0.5)</f>
        <v>5.5</v>
      </c>
      <c r="L148" s="47">
        <f>CEILING(TBL_CalcDarwin[[#This Row],[Darwin Gusts
m/s]],0.5)</f>
        <v>6.5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48" s="41">
        <f>INDEX(Curva_Temp[Temp],MATCH(TBL_CalcDarwin[[#This Row],[Darwin Temp.
°C]],Curva_Temp[Temp]))</f>
        <v>15</v>
      </c>
      <c r="R148" s="41">
        <f>INDEX(Curva_Temp[Warranted Power Curve for 
1.194Kg/m3 air density '[kW']
SG 5.0-145 (AM+1, 5.2MW) AT 
90M],MATCH(TBL_CalcDarwin[[#This Row],[Darwin Temp.
°C]],Curva_Temp[Temp]))</f>
        <v>5200</v>
      </c>
      <c r="S148" s="41" cm="1">
        <f t="array" ref="S148">INDEX(Curva_Temp[Temp],MATCH(TBL_CalcDarwin[[#This Row],[Darwin Temp.
°C]],Curva_Temp[Temp])+1)</f>
        <v>20</v>
      </c>
      <c r="T148" s="41" cm="1">
        <f t="array" ref="T148">INDEX(Curva_Temp[Warranted Power Curve for 
1.194Kg/m3 air density '[kW']
SG 5.0-145 (AM+1, 5.2MW) AT 
90M],MATCH(TBL_CalcDarwin[[#This Row],[Darwin Temp.
°C]],Curva_Temp[Temp])+1)</f>
        <v>5000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48" s="41">
        <f>INDEX(Curva_Temp[Temp],MATCH(TBL_CalcDarwin[[#This Row],[Darwin Temp.
°C]],Curva_Temp[Temp]))</f>
        <v>15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20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5000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48" s="29">
        <f>TBL_CalcDarwin[[#This Row],[Expansión - Barra B - 5.2 - Cerro]]*TBL_CalcDarwin[[#This Row],[AEG 5.2 MW Cerro]]</f>
        <v>0.38200000000000001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45450.124999999651</v>
      </c>
      <c r="C149" s="17">
        <f>C148+TIME(1,0,0)</f>
        <v>6.1250000000000089</v>
      </c>
      <c r="D149" s="34">
        <f>TBL_CalcDarwin[[#This Row],[Darwin PLOM
MW]]+TBL_CalcDarwin[[#This Row],[Darwin PLOME
MW]]</f>
        <v>30.28</v>
      </c>
      <c r="E149" s="34">
        <f>TBL_CalcDarwin[[#This Row],[PLOM MW TOTAL BARRA A]]+TBL_CalcDarwin[[#This Row],[PLOM MW TOTAL BARRA B]]</f>
        <v>29.245000000000001</v>
      </c>
      <c r="F149" s="34">
        <f>TBL_CalcDarwin[[#This Row],[PLOME MW TOTAL BARRA A]]+TBL_CalcDarwin[[#This Row],[PLOME MW TOTAL BARRA B]]</f>
        <v>1.0350000000000001</v>
      </c>
      <c r="G149" s="48">
        <f>'Plantilla Datos'!D154</f>
        <v>4.0999999999999996</v>
      </c>
      <c r="H149" s="48">
        <f>'Plantilla Datos'!E154</f>
        <v>5.3</v>
      </c>
      <c r="I149" s="49">
        <f>'Plantilla Datos'!F154</f>
        <v>17.3</v>
      </c>
      <c r="J149" s="47">
        <f>CEILING('Plantilla Datos'!$L$3*TBL_CalcDarwin[[#This Row],[Darwin Gusts
m/s]],0.5)</f>
        <v>4</v>
      </c>
      <c r="K149" s="47">
        <f>CEILING('Plantilla Datos'!$L$4*TBL_CalcDarwin[[#This Row],[Darwin Gusts
m/s]],0.5)</f>
        <v>5</v>
      </c>
      <c r="L149" s="47">
        <f>CEILING(TBL_CalcDarwin[[#This Row],[Darwin Gusts
m/s]],0.5)</f>
        <v>5.5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49" s="41">
        <f>INDEX(Curva_Temp[Temp],MATCH(TBL_CalcDarwin[[#This Row],[Darwin Temp.
°C]],Curva_Temp[Temp]))</f>
        <v>15</v>
      </c>
      <c r="R149" s="41">
        <f>INDEX(Curva_Temp[Warranted Power Curve for 
1.194Kg/m3 air density '[kW']
SG 5.0-145 (AM+1, 5.2MW) AT 
90M],MATCH(TBL_CalcDarwin[[#This Row],[Darwin Temp.
°C]],Curva_Temp[Temp]))</f>
        <v>5200</v>
      </c>
      <c r="S149" s="41" cm="1">
        <f t="array" ref="S149">INDEX(Curva_Temp[Temp],MATCH(TBL_CalcDarwin[[#This Row],[Darwin Temp.
°C]],Curva_Temp[Temp])+1)</f>
        <v>20</v>
      </c>
      <c r="T149" s="41" cm="1">
        <f t="array" ref="T149">INDEX(Curva_Temp[Warranted Power Curve for 
1.194Kg/m3 air density '[kW']
SG 5.0-145 (AM+1, 5.2MW) AT 
90M],MATCH(TBL_CalcDarwin[[#This Row],[Darwin Temp.
°C]],Curva_Temp[Temp])+1)</f>
        <v>5000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49" s="41">
        <f>INDEX(Curva_Temp[Temp],MATCH(TBL_CalcDarwin[[#This Row],[Darwin Temp.
°C]],Curva_Temp[Temp]))</f>
        <v>15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20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5000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49" s="29">
        <f>TBL_CalcDarwin[[#This Row],[Expansión - Barra B - 5.2 - Cerro]]*TBL_CalcDarwin[[#This Row],[AEG 5.2 MW Cerro]]</f>
        <v>0.24399999999999999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45450.166666666315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20.073000000000004</v>
      </c>
      <c r="E150" s="34">
        <f>TBL_CalcDarwin[[#This Row],[PLOM MW TOTAL BARRA A]]+TBL_CalcDarwin[[#This Row],[PLOM MW TOTAL BARRA B]]</f>
        <v>19.569000000000003</v>
      </c>
      <c r="F150" s="34">
        <f>TBL_CalcDarwin[[#This Row],[PLOME MW TOTAL BARRA A]]+TBL_CalcDarwin[[#This Row],[PLOME MW TOTAL BARRA B]]</f>
        <v>0.504</v>
      </c>
      <c r="G150" s="48">
        <f>'Plantilla Datos'!D155</f>
        <v>3.5</v>
      </c>
      <c r="H150" s="48">
        <f>'Plantilla Datos'!E155</f>
        <v>4.5999999999999996</v>
      </c>
      <c r="I150" s="49">
        <f>'Plantilla Datos'!F155</f>
        <v>17.2</v>
      </c>
      <c r="J150" s="47">
        <f>CEILING('Plantilla Datos'!$L$3*TBL_CalcDarwin[[#This Row],[Darwin Gusts
m/s]],0.5)</f>
        <v>3.5</v>
      </c>
      <c r="K150" s="47">
        <f>CEILING('Plantilla Datos'!$L$4*TBL_CalcDarwin[[#This Row],[Darwin Gusts
m/s]],0.5)</f>
        <v>4</v>
      </c>
      <c r="L150" s="47">
        <f>CEILING(TBL_CalcDarwin[[#This Row],[Darwin Gusts
m/s]],0.5)</f>
        <v>5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50" s="41">
        <f>INDEX(Curva_Temp[Temp],MATCH(TBL_CalcDarwin[[#This Row],[Darwin Temp.
°C]],Curva_Temp[Temp]))</f>
        <v>15</v>
      </c>
      <c r="R150" s="41">
        <f>INDEX(Curva_Temp[Warranted Power Curve for 
1.194Kg/m3 air density '[kW']
SG 5.0-145 (AM+1, 5.2MW) AT 
90M],MATCH(TBL_CalcDarwin[[#This Row],[Darwin Temp.
°C]],Curva_Temp[Temp]))</f>
        <v>5200</v>
      </c>
      <c r="S150" s="41" cm="1">
        <f t="array" ref="S150">INDEX(Curva_Temp[Temp],MATCH(TBL_CalcDarwin[[#This Row],[Darwin Temp.
°C]],Curva_Temp[Temp])+1)</f>
        <v>20</v>
      </c>
      <c r="T150" s="41" cm="1">
        <f t="array" ref="T150">INDEX(Curva_Temp[Warranted Power Curve for 
1.194Kg/m3 air density '[kW']
SG 5.0-145 (AM+1, 5.2MW) AT 
90M],MATCH(TBL_CalcDarwin[[#This Row],[Darwin Temp.
°C]],Curva_Temp[Temp])+1)</f>
        <v>5000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50" s="41">
        <f>INDEX(Curva_Temp[Temp],MATCH(TBL_CalcDarwin[[#This Row],[Darwin Temp.
°C]],Curva_Temp[Temp]))</f>
        <v>15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20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5000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8.375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50" s="29">
        <f>TBL_CalcDarwin[[#This Row],[Expansión - Barra B - 5.2 - Cerro]]*TBL_CalcDarwin[[#This Row],[AEG 5.2 MW Cerro]]</f>
        <v>0.13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45450.208333332979</v>
      </c>
      <c r="C151" s="17">
        <f t="shared" si="15"/>
        <v>6.2083333333333428</v>
      </c>
      <c r="D151" s="34">
        <f>TBL_CalcDarwin[[#This Row],[Darwin PLOM
MW]]+TBL_CalcDarwin[[#This Row],[Darwin PLOME
MW]]</f>
        <v>9.1110000000000007</v>
      </c>
      <c r="E151" s="34">
        <f>TBL_CalcDarwin[[#This Row],[PLOM MW TOTAL BARRA A]]+TBL_CalcDarwin[[#This Row],[PLOM MW TOTAL BARRA B]]</f>
        <v>8.8710000000000004</v>
      </c>
      <c r="F151" s="34">
        <f>TBL_CalcDarwin[[#This Row],[PLOME MW TOTAL BARRA A]]+TBL_CalcDarwin[[#This Row],[PLOME MW TOTAL BARRA B]]</f>
        <v>0.24</v>
      </c>
      <c r="G151" s="48">
        <f>'Plantilla Datos'!D156</f>
        <v>2.8</v>
      </c>
      <c r="H151" s="48">
        <f>'Plantilla Datos'!E156</f>
        <v>3.8</v>
      </c>
      <c r="I151" s="49">
        <f>'Plantilla Datos'!F156</f>
        <v>17.2</v>
      </c>
      <c r="J151" s="47">
        <f>CEILING('Plantilla Datos'!$L$3*TBL_CalcDarwin[[#This Row],[Darwin Gusts
m/s]],0.5)</f>
        <v>3</v>
      </c>
      <c r="K151" s="47">
        <f>CEILING('Plantilla Datos'!$L$4*TBL_CalcDarwin[[#This Row],[Darwin Gusts
m/s]],0.5)</f>
        <v>3.5</v>
      </c>
      <c r="L151" s="47">
        <f>CEILING(TBL_CalcDarwin[[#This Row],[Darwin Gusts
m/s]],0.5)</f>
        <v>4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51" s="41">
        <f>INDEX(Curva_Temp[Temp],MATCH(TBL_CalcDarwin[[#This Row],[Darwin Temp.
°C]],Curva_Temp[Temp]))</f>
        <v>15</v>
      </c>
      <c r="R151" s="41">
        <f>INDEX(Curva_Temp[Warranted Power Curve for 
1.194Kg/m3 air density '[kW']
SG 5.0-145 (AM+1, 5.2MW) AT 
90M],MATCH(TBL_CalcDarwin[[#This Row],[Darwin Temp.
°C]],Curva_Temp[Temp]))</f>
        <v>5200</v>
      </c>
      <c r="S151" s="41" cm="1">
        <f t="array" ref="S151">INDEX(Curva_Temp[Temp],MATCH(TBL_CalcDarwin[[#This Row],[Darwin Temp.
°C]],Curva_Temp[Temp])+1)</f>
        <v>20</v>
      </c>
      <c r="T151" s="41" cm="1">
        <f t="array" ref="T151">INDEX(Curva_Temp[Warranted Power Curve for 
1.194Kg/m3 air density '[kW']
SG 5.0-145 (AM+1, 5.2MW) AT 
90M],MATCH(TBL_CalcDarwin[[#This Row],[Darwin Temp.
°C]],Curva_Temp[Temp])+1)</f>
        <v>5000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51" s="41">
        <f>INDEX(Curva_Temp[Temp],MATCH(TBL_CalcDarwin[[#This Row],[Darwin Temp.
°C]],Curva_Temp[Temp]))</f>
        <v>15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20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5000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51" s="29">
        <f>TBL_CalcDarwin[[#This Row],[Expansión - Barra B - 5.2 - Cerro]]*TBL_CalcDarwin[[#This Row],[AEG 5.2 MW Cerro]]</f>
        <v>5.5E-2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45450.249999999643</v>
      </c>
      <c r="C152" s="17">
        <f t="shared" si="15"/>
        <v>6.2500000000000098</v>
      </c>
      <c r="D152" s="34">
        <f>TBL_CalcDarwin[[#This Row],[Darwin PLOM
MW]]+TBL_CalcDarwin[[#This Row],[Darwin PLOME
MW]]</f>
        <v>4.47</v>
      </c>
      <c r="E152" s="34">
        <f>TBL_CalcDarwin[[#This Row],[PLOM MW TOTAL BARRA A]]+TBL_CalcDarwin[[#This Row],[PLOM MW TOTAL BARRA B]]</f>
        <v>4.415</v>
      </c>
      <c r="F152" s="34">
        <f>TBL_CalcDarwin[[#This Row],[PLOME MW TOTAL BARRA A]]+TBL_CalcDarwin[[#This Row],[PLOME MW TOTAL BARRA B]]</f>
        <v>5.5E-2</v>
      </c>
      <c r="G152" s="48">
        <f>'Plantilla Datos'!D157</f>
        <v>2.2000000000000002</v>
      </c>
      <c r="H152" s="48">
        <f>'Plantilla Datos'!E157</f>
        <v>3.1</v>
      </c>
      <c r="I152" s="49">
        <f>'Plantilla Datos'!F157</f>
        <v>17.399999999999999</v>
      </c>
      <c r="J152" s="47">
        <f>CEILING('Plantilla Datos'!$L$3*TBL_CalcDarwin[[#This Row],[Darwin Gusts
m/s]],0.5)</f>
        <v>2.5</v>
      </c>
      <c r="K152" s="47">
        <f>CEILING('Plantilla Datos'!$L$4*TBL_CalcDarwin[[#This Row],[Darwin Gusts
m/s]],0.5)</f>
        <v>3</v>
      </c>
      <c r="L152" s="47">
        <f>CEILING(TBL_CalcDarwin[[#This Row],[Darwin Gusts
m/s]],0.5)</f>
        <v>3.5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52" s="41">
        <f>INDEX(Curva_Temp[Temp],MATCH(TBL_CalcDarwin[[#This Row],[Darwin Temp.
°C]],Curva_Temp[Temp]))</f>
        <v>15</v>
      </c>
      <c r="R152" s="41">
        <f>INDEX(Curva_Temp[Warranted Power Curve for 
1.194Kg/m3 air density '[kW']
SG 5.0-145 (AM+1, 5.2MW) AT 
90M],MATCH(TBL_CalcDarwin[[#This Row],[Darwin Temp.
°C]],Curva_Temp[Temp]))</f>
        <v>5200</v>
      </c>
      <c r="S152" s="41" cm="1">
        <f t="array" ref="S152">INDEX(Curva_Temp[Temp],MATCH(TBL_CalcDarwin[[#This Row],[Darwin Temp.
°C]],Curva_Temp[Temp])+1)</f>
        <v>20</v>
      </c>
      <c r="T152" s="41" cm="1">
        <f t="array" ref="T152">INDEX(Curva_Temp[Warranted Power Curve for 
1.194Kg/m3 air density '[kW']
SG 5.0-145 (AM+1, 5.2MW) AT 
90M],MATCH(TBL_CalcDarwin[[#This Row],[Darwin Temp.
°C]],Curva_Temp[Temp])+1)</f>
        <v>5000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52" s="41">
        <f>INDEX(Curva_Temp[Temp],MATCH(TBL_CalcDarwin[[#This Row],[Darwin Temp.
°C]],Curva_Temp[Temp]))</f>
        <v>15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20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5000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52" s="29">
        <f>TBL_CalcDarwin[[#This Row],[Expansión - Barra B - 5.2 - Cerro]]*TBL_CalcDarwin[[#This Row],[AEG 5.2 MW Cerro]]</f>
        <v>0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45450.291666666308</v>
      </c>
      <c r="C153" s="17">
        <f t="shared" si="15"/>
        <v>6.2916666666666767</v>
      </c>
      <c r="D153" s="34">
        <f>TBL_CalcDarwin[[#This Row],[Darwin PLOM
MW]]+TBL_CalcDarwin[[#This Row],[Darwin PLOME
MW]]</f>
        <v>0</v>
      </c>
      <c r="E153" s="34">
        <f>TBL_CalcDarwin[[#This Row],[PLOM MW TOTAL BARRA A]]+TBL_CalcDarwin[[#This Row],[PLOM MW TOTAL BARRA B]]</f>
        <v>0</v>
      </c>
      <c r="F153" s="34">
        <f>TBL_CalcDarwin[[#This Row],[PLOME MW TOTAL BARRA A]]+TBL_CalcDarwin[[#This Row],[PLOME MW TOTAL BARRA B]]</f>
        <v>0</v>
      </c>
      <c r="G153" s="48">
        <f>'Plantilla Datos'!D158</f>
        <v>1.6</v>
      </c>
      <c r="H153" s="48">
        <f>'Plantilla Datos'!E158</f>
        <v>2.2999999999999998</v>
      </c>
      <c r="I153" s="49">
        <f>'Plantilla Datos'!F158</f>
        <v>17.8</v>
      </c>
      <c r="J153" s="47">
        <f>CEILING('Plantilla Datos'!$L$3*TBL_CalcDarwin[[#This Row],[Darwin Gusts
m/s]],0.5)</f>
        <v>2</v>
      </c>
      <c r="K153" s="47">
        <f>CEILING('Plantilla Datos'!$L$4*TBL_CalcDarwin[[#This Row],[Darwin Gusts
m/s]],0.5)</f>
        <v>2</v>
      </c>
      <c r="L153" s="47">
        <f>CEILING(TBL_CalcDarwin[[#This Row],[Darwin Gusts
m/s]],0.5)</f>
        <v>2.5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53" s="41">
        <f>INDEX(Curva_Temp[Temp],MATCH(TBL_CalcDarwin[[#This Row],[Darwin Temp.
°C]],Curva_Temp[Temp]))</f>
        <v>15</v>
      </c>
      <c r="R153" s="41">
        <f>INDEX(Curva_Temp[Warranted Power Curve for 
1.194Kg/m3 air density '[kW']
SG 5.0-145 (AM+1, 5.2MW) AT 
90M],MATCH(TBL_CalcDarwin[[#This Row],[Darwin Temp.
°C]],Curva_Temp[Temp]))</f>
        <v>5200</v>
      </c>
      <c r="S153" s="41" cm="1">
        <f t="array" ref="S153">INDEX(Curva_Temp[Temp],MATCH(TBL_CalcDarwin[[#This Row],[Darwin Temp.
°C]],Curva_Temp[Temp])+1)</f>
        <v>20</v>
      </c>
      <c r="T153" s="41" cm="1">
        <f t="array" ref="T153">INDEX(Curva_Temp[Warranted Power Curve for 
1.194Kg/m3 air density '[kW']
SG 5.0-145 (AM+1, 5.2MW) AT 
90M],MATCH(TBL_CalcDarwin[[#This Row],[Darwin Temp.
°C]],Curva_Temp[Temp])+1)</f>
        <v>5000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53" s="41">
        <f>INDEX(Curva_Temp[Temp],MATCH(TBL_CalcDarwin[[#This Row],[Darwin Temp.
°C]],Curva_Temp[Temp]))</f>
        <v>15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20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5000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3" s="29">
        <f>TBL_CalcDarwin[[#This Row],[Expansión - Barra B - 5.2 - Cerro]]*TBL_CalcDarwin[[#This Row],[AEG 5.2 MW Cerro]]</f>
        <v>0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45450.333333332972</v>
      </c>
      <c r="C154" s="17">
        <f t="shared" si="15"/>
        <v>6.3333333333333437</v>
      </c>
      <c r="D154" s="34">
        <f>TBL_CalcDarwin[[#This Row],[Darwin PLOM
MW]]+TBL_CalcDarwin[[#This Row],[Darwin PLOME
MW]]</f>
        <v>1.6360000000000001</v>
      </c>
      <c r="E154" s="34">
        <f>TBL_CalcDarwin[[#This Row],[PLOM MW TOTAL BARRA A]]+TBL_CalcDarwin[[#This Row],[PLOM MW TOTAL BARRA B]]</f>
        <v>1.6360000000000001</v>
      </c>
      <c r="F154" s="34">
        <f>TBL_CalcDarwin[[#This Row],[PLOME MW TOTAL BARRA A]]+TBL_CalcDarwin[[#This Row],[PLOME MW TOTAL BARRA B]]</f>
        <v>0</v>
      </c>
      <c r="G154" s="48">
        <f>'Plantilla Datos'!D159</f>
        <v>1.9</v>
      </c>
      <c r="H154" s="48">
        <f>'Plantilla Datos'!E159</f>
        <v>2.7</v>
      </c>
      <c r="I154" s="49">
        <f>'Plantilla Datos'!F159</f>
        <v>18</v>
      </c>
      <c r="J154" s="47">
        <f>CEILING('Plantilla Datos'!$L$3*TBL_CalcDarwin[[#This Row],[Darwin Gusts
m/s]],0.5)</f>
        <v>2</v>
      </c>
      <c r="K154" s="47">
        <f>CEILING('Plantilla Datos'!$L$4*TBL_CalcDarwin[[#This Row],[Darwin Gusts
m/s]],0.5)</f>
        <v>2.5</v>
      </c>
      <c r="L154" s="47">
        <f>CEILING(TBL_CalcDarwin[[#This Row],[Darwin Gusts
m/s]],0.5)</f>
        <v>3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54" s="41">
        <f>INDEX(Curva_Temp[Temp],MATCH(TBL_CalcDarwin[[#This Row],[Darwin Temp.
°C]],Curva_Temp[Temp]))</f>
        <v>15</v>
      </c>
      <c r="R154" s="41">
        <f>INDEX(Curva_Temp[Warranted Power Curve for 
1.194Kg/m3 air density '[kW']
SG 5.0-145 (AM+1, 5.2MW) AT 
90M],MATCH(TBL_CalcDarwin[[#This Row],[Darwin Temp.
°C]],Curva_Temp[Temp]))</f>
        <v>5200</v>
      </c>
      <c r="S154" s="41" cm="1">
        <f t="array" ref="S154">INDEX(Curva_Temp[Temp],MATCH(TBL_CalcDarwin[[#This Row],[Darwin Temp.
°C]],Curva_Temp[Temp])+1)</f>
        <v>20</v>
      </c>
      <c r="T154" s="41" cm="1">
        <f t="array" ref="T154">INDEX(Curva_Temp[Warranted Power Curve for 
1.194Kg/m3 air density '[kW']
SG 5.0-145 (AM+1, 5.2MW) AT 
90M],MATCH(TBL_CalcDarwin[[#This Row],[Darwin Temp.
°C]],Curva_Temp[Temp])+1)</f>
        <v>5000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54" s="41">
        <f>INDEX(Curva_Temp[Temp],MATCH(TBL_CalcDarwin[[#This Row],[Darwin Temp.
°C]],Curva_Temp[Temp]))</f>
        <v>15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20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5000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4" s="29">
        <f>TBL_CalcDarwin[[#This Row],[Expansión - Barra B - 5.2 - Cerro]]*TBL_CalcDarwin[[#This Row],[AEG 5.2 MW Cerro]]</f>
        <v>0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45450.374999999636</v>
      </c>
      <c r="C155" s="17">
        <f t="shared" si="15"/>
        <v>6.3750000000000107</v>
      </c>
      <c r="D155" s="34">
        <f>TBL_CalcDarwin[[#This Row],[Darwin PLOM
MW]]+TBL_CalcDarwin[[#This Row],[Darwin PLOME
MW]]</f>
        <v>2.2410000000000001</v>
      </c>
      <c r="E155" s="34">
        <f>TBL_CalcDarwin[[#This Row],[PLOM MW TOTAL BARRA A]]+TBL_CalcDarwin[[#This Row],[PLOM MW TOTAL BARRA B]]</f>
        <v>2.1859999999999999</v>
      </c>
      <c r="F155" s="34">
        <f>TBL_CalcDarwin[[#This Row],[PLOME MW TOTAL BARRA A]]+TBL_CalcDarwin[[#This Row],[PLOME MW TOTAL BARRA B]]</f>
        <v>5.5E-2</v>
      </c>
      <c r="G155" s="48">
        <f>'Plantilla Datos'!D160</f>
        <v>2.2000000000000002</v>
      </c>
      <c r="H155" s="48">
        <f>'Plantilla Datos'!E160</f>
        <v>3</v>
      </c>
      <c r="I155" s="49">
        <f>'Plantilla Datos'!F160</f>
        <v>18.3</v>
      </c>
      <c r="J155" s="47">
        <f>CEILING('Plantilla Datos'!$L$3*TBL_CalcDarwin[[#This Row],[Darwin Gusts
m/s]],0.5)</f>
        <v>2.5</v>
      </c>
      <c r="K155" s="47">
        <f>CEILING('Plantilla Datos'!$L$4*TBL_CalcDarwin[[#This Row],[Darwin Gusts
m/s]],0.5)</f>
        <v>3</v>
      </c>
      <c r="L155" s="47">
        <f>CEILING(TBL_CalcDarwin[[#This Row],[Darwin Gusts
m/s]],0.5)</f>
        <v>3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55" s="41">
        <f>INDEX(Curva_Temp[Temp],MATCH(TBL_CalcDarwin[[#This Row],[Darwin Temp.
°C]],Curva_Temp[Temp]))</f>
        <v>15</v>
      </c>
      <c r="R155" s="41">
        <f>INDEX(Curva_Temp[Warranted Power Curve for 
1.194Kg/m3 air density '[kW']
SG 5.0-145 (AM+1, 5.2MW) AT 
90M],MATCH(TBL_CalcDarwin[[#This Row],[Darwin Temp.
°C]],Curva_Temp[Temp]))</f>
        <v>5200</v>
      </c>
      <c r="S155" s="41" cm="1">
        <f t="array" ref="S155">INDEX(Curva_Temp[Temp],MATCH(TBL_CalcDarwin[[#This Row],[Darwin Temp.
°C]],Curva_Temp[Temp])+1)</f>
        <v>20</v>
      </c>
      <c r="T155" s="41" cm="1">
        <f t="array" ref="T155">INDEX(Curva_Temp[Warranted Power Curve for 
1.194Kg/m3 air density '[kW']
SG 5.0-145 (AM+1, 5.2MW) AT 
90M],MATCH(TBL_CalcDarwin[[#This Row],[Darwin Temp.
°C]],Curva_Temp[Temp])+1)</f>
        <v>5000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55" s="41">
        <f>INDEX(Curva_Temp[Temp],MATCH(TBL_CalcDarwin[[#This Row],[Darwin Temp.
°C]],Curva_Temp[Temp]))</f>
        <v>15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20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5000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0.99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1.1960000000000002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55" s="29">
        <f>TBL_CalcDarwin[[#This Row],[Expansión - Barra B - 5.2 - Cerro]]*TBL_CalcDarwin[[#This Row],[AEG 5.2 MW Cerro]]</f>
        <v>0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45450.4166666663</v>
      </c>
      <c r="C156" s="17">
        <f t="shared" si="15"/>
        <v>6.4166666666666776</v>
      </c>
      <c r="D156" s="34">
        <f>TBL_CalcDarwin[[#This Row],[Darwin PLOM
MW]]+TBL_CalcDarwin[[#This Row],[Darwin PLOME
MW]]</f>
        <v>4.47</v>
      </c>
      <c r="E156" s="34">
        <f>TBL_CalcDarwin[[#This Row],[PLOM MW TOTAL BARRA A]]+TBL_CalcDarwin[[#This Row],[PLOM MW TOTAL BARRA B]]</f>
        <v>4.415</v>
      </c>
      <c r="F156" s="34">
        <f>TBL_CalcDarwin[[#This Row],[PLOME MW TOTAL BARRA A]]+TBL_CalcDarwin[[#This Row],[PLOME MW TOTAL BARRA B]]</f>
        <v>5.5E-2</v>
      </c>
      <c r="G156" s="48">
        <f>'Plantilla Datos'!D161</f>
        <v>2.5</v>
      </c>
      <c r="H156" s="48">
        <f>'Plantilla Datos'!E161</f>
        <v>3.4</v>
      </c>
      <c r="I156" s="49">
        <f>'Plantilla Datos'!F161</f>
        <v>18.5</v>
      </c>
      <c r="J156" s="47">
        <f>CEILING('Plantilla Datos'!$L$3*TBL_CalcDarwin[[#This Row],[Darwin Gusts
m/s]],0.5)</f>
        <v>2.5</v>
      </c>
      <c r="K156" s="47">
        <f>CEILING('Plantilla Datos'!$L$4*TBL_CalcDarwin[[#This Row],[Darwin Gusts
m/s]],0.5)</f>
        <v>3</v>
      </c>
      <c r="L156" s="47">
        <f>CEILING(TBL_CalcDarwin[[#This Row],[Darwin Gusts
m/s]],0.5)</f>
        <v>3.5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56" s="41">
        <f>INDEX(Curva_Temp[Temp],MATCH(TBL_CalcDarwin[[#This Row],[Darwin Temp.
°C]],Curva_Temp[Temp]))</f>
        <v>15</v>
      </c>
      <c r="R156" s="41">
        <f>INDEX(Curva_Temp[Warranted Power Curve for 
1.194Kg/m3 air density '[kW']
SG 5.0-145 (AM+1, 5.2MW) AT 
90M],MATCH(TBL_CalcDarwin[[#This Row],[Darwin Temp.
°C]],Curva_Temp[Temp]))</f>
        <v>5200</v>
      </c>
      <c r="S156" s="41" cm="1">
        <f t="array" ref="S156">INDEX(Curva_Temp[Temp],MATCH(TBL_CalcDarwin[[#This Row],[Darwin Temp.
°C]],Curva_Temp[Temp])+1)</f>
        <v>20</v>
      </c>
      <c r="T156" s="41" cm="1">
        <f t="array" ref="T156">INDEX(Curva_Temp[Warranted Power Curve for 
1.194Kg/m3 air density '[kW']
SG 5.0-145 (AM+1, 5.2MW) AT 
90M],MATCH(TBL_CalcDarwin[[#This Row],[Darwin Temp.
°C]],Curva_Temp[Temp])+1)</f>
        <v>5000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56" s="41">
        <f>INDEX(Curva_Temp[Temp],MATCH(TBL_CalcDarwin[[#This Row],[Darwin Temp.
°C]],Curva_Temp[Temp]))</f>
        <v>15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20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5000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56" s="29">
        <f>TBL_CalcDarwin[[#This Row],[Expansión - Barra B - 5.2 - Cerro]]*TBL_CalcDarwin[[#This Row],[AEG 5.2 MW Cerro]]</f>
        <v>0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45450.458333332965</v>
      </c>
      <c r="C157" s="17">
        <f t="shared" si="15"/>
        <v>6.4583333333333446</v>
      </c>
      <c r="D157" s="34">
        <f>TBL_CalcDarwin[[#This Row],[Darwin PLOM
MW]]+TBL_CalcDarwin[[#This Row],[Darwin PLOME
MW]]</f>
        <v>9.4850000000000012</v>
      </c>
      <c r="E157" s="34">
        <f>TBL_CalcDarwin[[#This Row],[PLOM MW TOTAL BARRA A]]+TBL_CalcDarwin[[#This Row],[PLOM MW TOTAL BARRA B]]</f>
        <v>9.245000000000001</v>
      </c>
      <c r="F157" s="34">
        <f>TBL_CalcDarwin[[#This Row],[PLOME MW TOTAL BARRA A]]+TBL_CalcDarwin[[#This Row],[PLOME MW TOTAL BARRA B]]</f>
        <v>0.24</v>
      </c>
      <c r="G157" s="48">
        <f>'Plantilla Datos'!D162</f>
        <v>2.8</v>
      </c>
      <c r="H157" s="48">
        <f>'Plantilla Datos'!E162</f>
        <v>3.7</v>
      </c>
      <c r="I157" s="49">
        <f>'Plantilla Datos'!F162</f>
        <v>18.8</v>
      </c>
      <c r="J157" s="47">
        <f>CEILING('Plantilla Datos'!$L$3*TBL_CalcDarwin[[#This Row],[Darwin Gusts
m/s]],0.5)</f>
        <v>3</v>
      </c>
      <c r="K157" s="47">
        <f>CEILING('Plantilla Datos'!$L$4*TBL_CalcDarwin[[#This Row],[Darwin Gusts
m/s]],0.5)</f>
        <v>3.5</v>
      </c>
      <c r="L157" s="47">
        <f>CEILING(TBL_CalcDarwin[[#This Row],[Darwin Gusts
m/s]],0.5)</f>
        <v>4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57" s="41">
        <f>INDEX(Curva_Temp[Temp],MATCH(TBL_CalcDarwin[[#This Row],[Darwin Temp.
°C]],Curva_Temp[Temp]))</f>
        <v>15</v>
      </c>
      <c r="R157" s="41">
        <f>INDEX(Curva_Temp[Warranted Power Curve for 
1.194Kg/m3 air density '[kW']
SG 5.0-145 (AM+1, 5.2MW) AT 
90M],MATCH(TBL_CalcDarwin[[#This Row],[Darwin Temp.
°C]],Curva_Temp[Temp]))</f>
        <v>5200</v>
      </c>
      <c r="S157" s="41" cm="1">
        <f t="array" ref="S157">INDEX(Curva_Temp[Temp],MATCH(TBL_CalcDarwin[[#This Row],[Darwin Temp.
°C]],Curva_Temp[Temp])+1)</f>
        <v>20</v>
      </c>
      <c r="T157" s="41" cm="1">
        <f t="array" ref="T157">INDEX(Curva_Temp[Warranted Power Curve for 
1.194Kg/m3 air density '[kW']
SG 5.0-145 (AM+1, 5.2MW) AT 
90M],MATCH(TBL_CalcDarwin[[#This Row],[Darwin Temp.
°C]],Curva_Temp[Temp])+1)</f>
        <v>5000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57" s="41">
        <f>INDEX(Curva_Temp[Temp],MATCH(TBL_CalcDarwin[[#This Row],[Darwin Temp.
°C]],Curva_Temp[Temp]))</f>
        <v>15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20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5000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57" s="29">
        <f>TBL_CalcDarwin[[#This Row],[Expansión - Barra B - 5.2 - Cerro]]*TBL_CalcDarwin[[#This Row],[AEG 5.2 MW Cerro]]</f>
        <v>5.5E-2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45450.499999999629</v>
      </c>
      <c r="C158" s="17">
        <f t="shared" si="15"/>
        <v>6.5000000000000115</v>
      </c>
      <c r="D158" s="34">
        <f>TBL_CalcDarwin[[#This Row],[Darwin PLOM
MW]]+TBL_CalcDarwin[[#This Row],[Darwin PLOME
MW]]</f>
        <v>13.762999999999998</v>
      </c>
      <c r="E158" s="34">
        <f>TBL_CalcDarwin[[#This Row],[PLOM MW TOTAL BARRA A]]+TBL_CalcDarwin[[#This Row],[PLOM MW TOTAL BARRA B]]</f>
        <v>13.522999999999998</v>
      </c>
      <c r="F158" s="34">
        <f>TBL_CalcDarwin[[#This Row],[PLOME MW TOTAL BARRA A]]+TBL_CalcDarwin[[#This Row],[PLOME MW TOTAL BARRA B]]</f>
        <v>0.24</v>
      </c>
      <c r="G158" s="48">
        <f>'Plantilla Datos'!D163</f>
        <v>3.1</v>
      </c>
      <c r="H158" s="48">
        <f>'Plantilla Datos'!E163</f>
        <v>4.0999999999999996</v>
      </c>
      <c r="I158" s="49">
        <f>'Plantilla Datos'!F163</f>
        <v>18.899999999999999</v>
      </c>
      <c r="J158" s="47">
        <f>CEILING('Plantilla Datos'!$L$3*TBL_CalcDarwin[[#This Row],[Darwin Gusts
m/s]],0.5)</f>
        <v>3</v>
      </c>
      <c r="K158" s="47">
        <f>CEILING('Plantilla Datos'!$L$4*TBL_CalcDarwin[[#This Row],[Darwin Gusts
m/s]],0.5)</f>
        <v>3.5</v>
      </c>
      <c r="L158" s="47">
        <f>CEILING(TBL_CalcDarwin[[#This Row],[Darwin Gusts
m/s]],0.5)</f>
        <v>4.5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58" s="41">
        <f>INDEX(Curva_Temp[Temp],MATCH(TBL_CalcDarwin[[#This Row],[Darwin Temp.
°C]],Curva_Temp[Temp]))</f>
        <v>15</v>
      </c>
      <c r="R158" s="41">
        <f>INDEX(Curva_Temp[Warranted Power Curve for 
1.194Kg/m3 air density '[kW']
SG 5.0-145 (AM+1, 5.2MW) AT 
90M],MATCH(TBL_CalcDarwin[[#This Row],[Darwin Temp.
°C]],Curva_Temp[Temp]))</f>
        <v>5200</v>
      </c>
      <c r="S158" s="41" cm="1">
        <f t="array" ref="S158">INDEX(Curva_Temp[Temp],MATCH(TBL_CalcDarwin[[#This Row],[Darwin Temp.
°C]],Curva_Temp[Temp])+1)</f>
        <v>20</v>
      </c>
      <c r="T158" s="41" cm="1">
        <f t="array" ref="T158">INDEX(Curva_Temp[Warranted Power Curve for 
1.194Kg/m3 air density '[kW']
SG 5.0-145 (AM+1, 5.2MW) AT 
90M],MATCH(TBL_CalcDarwin[[#This Row],[Darwin Temp.
°C]],Curva_Temp[Temp])+1)</f>
        <v>5000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58" s="41">
        <f>INDEX(Curva_Temp[Temp],MATCH(TBL_CalcDarwin[[#This Row],[Darwin Temp.
°C]],Curva_Temp[Temp]))</f>
        <v>15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20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5000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5.8989999999999991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58" s="29">
        <f>TBL_CalcDarwin[[#This Row],[Expansión - Barra B - 5.2 - Cerro]]*TBL_CalcDarwin[[#This Row],[AEG 5.2 MW Cerro]]</f>
        <v>5.5E-2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45450.541666666293</v>
      </c>
      <c r="C159" s="17">
        <f t="shared" si="15"/>
        <v>6.5416666666666785</v>
      </c>
      <c r="D159" s="34">
        <f>TBL_CalcDarwin[[#This Row],[Darwin PLOM
MW]]+TBL_CalcDarwin[[#This Row],[Darwin PLOME
MW]]</f>
        <v>15.728</v>
      </c>
      <c r="E159" s="34">
        <f>TBL_CalcDarwin[[#This Row],[PLOM MW TOTAL BARRA A]]+TBL_CalcDarwin[[#This Row],[PLOM MW TOTAL BARRA B]]</f>
        <v>15.224</v>
      </c>
      <c r="F159" s="34">
        <f>TBL_CalcDarwin[[#This Row],[PLOME MW TOTAL BARRA A]]+TBL_CalcDarwin[[#This Row],[PLOME MW TOTAL BARRA B]]</f>
        <v>0.504</v>
      </c>
      <c r="G159" s="48">
        <f>'Plantilla Datos'!D164</f>
        <v>3.4</v>
      </c>
      <c r="H159" s="48">
        <f>'Plantilla Datos'!E164</f>
        <v>4.5</v>
      </c>
      <c r="I159" s="49">
        <f>'Plantilla Datos'!F164</f>
        <v>19.100000000000001</v>
      </c>
      <c r="J159" s="47">
        <f>CEILING('Plantilla Datos'!$L$3*TBL_CalcDarwin[[#This Row],[Darwin Gusts
m/s]],0.5)</f>
        <v>3.5</v>
      </c>
      <c r="K159" s="47">
        <f>CEILING('Plantilla Datos'!$L$4*TBL_CalcDarwin[[#This Row],[Darwin Gusts
m/s]],0.5)</f>
        <v>4</v>
      </c>
      <c r="L159" s="47">
        <f>CEILING(TBL_CalcDarwin[[#This Row],[Darwin Gusts
m/s]],0.5)</f>
        <v>4.5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59" s="41">
        <f>INDEX(Curva_Temp[Temp],MATCH(TBL_CalcDarwin[[#This Row],[Darwin Temp.
°C]],Curva_Temp[Temp]))</f>
        <v>15</v>
      </c>
      <c r="R159" s="41">
        <f>INDEX(Curva_Temp[Warranted Power Curve for 
1.194Kg/m3 air density '[kW']
SG 5.0-145 (AM+1, 5.2MW) AT 
90M],MATCH(TBL_CalcDarwin[[#This Row],[Darwin Temp.
°C]],Curva_Temp[Temp]))</f>
        <v>5200</v>
      </c>
      <c r="S159" s="41" cm="1">
        <f t="array" ref="S159">INDEX(Curva_Temp[Temp],MATCH(TBL_CalcDarwin[[#This Row],[Darwin Temp.
°C]],Curva_Temp[Temp])+1)</f>
        <v>20</v>
      </c>
      <c r="T159" s="41" cm="1">
        <f t="array" ref="T159">INDEX(Curva_Temp[Warranted Power Curve for 
1.194Kg/m3 air density '[kW']
SG 5.0-145 (AM+1, 5.2MW) AT 
90M],MATCH(TBL_CalcDarwin[[#This Row],[Darwin Temp.
°C]],Curva_Temp[Temp])+1)</f>
        <v>5000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59" s="41">
        <f>INDEX(Curva_Temp[Temp],MATCH(TBL_CalcDarwin[[#This Row],[Darwin Temp.
°C]],Curva_Temp[Temp]))</f>
        <v>15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20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5000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59" s="29">
        <f>TBL_CalcDarwin[[#This Row],[Expansión - Barra B - 5.2 - Cerro]]*TBL_CalcDarwin[[#This Row],[AEG 5.2 MW Cerro]]</f>
        <v>0.13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45450.583333332957</v>
      </c>
      <c r="C160" s="17">
        <f t="shared" si="15"/>
        <v>6.5833333333333455</v>
      </c>
      <c r="D160" s="34">
        <f>TBL_CalcDarwin[[#This Row],[Darwin PLOM
MW]]+TBL_CalcDarwin[[#This Row],[Darwin PLOME
MW]]</f>
        <v>29.592000000000002</v>
      </c>
      <c r="E160" s="34">
        <f>TBL_CalcDarwin[[#This Row],[PLOM MW TOTAL BARRA A]]+TBL_CalcDarwin[[#This Row],[PLOM MW TOTAL BARRA B]]</f>
        <v>28.722000000000001</v>
      </c>
      <c r="F160" s="34">
        <f>TBL_CalcDarwin[[#This Row],[PLOME MW TOTAL BARRA A]]+TBL_CalcDarwin[[#This Row],[PLOME MW TOTAL BARRA B]]</f>
        <v>0.87</v>
      </c>
      <c r="G160" s="48">
        <f>'Plantilla Datos'!D165</f>
        <v>3.9</v>
      </c>
      <c r="H160" s="48">
        <f>'Plantilla Datos'!E165</f>
        <v>5.0999999999999996</v>
      </c>
      <c r="I160" s="49">
        <f>'Plantilla Datos'!F165</f>
        <v>18.899999999999999</v>
      </c>
      <c r="J160" s="47">
        <f>CEILING('Plantilla Datos'!$L$3*TBL_CalcDarwin[[#This Row],[Darwin Gusts
m/s]],0.5)</f>
        <v>4</v>
      </c>
      <c r="K160" s="47">
        <f>CEILING('Plantilla Datos'!$L$4*TBL_CalcDarwin[[#This Row],[Darwin Gusts
m/s]],0.5)</f>
        <v>4.5</v>
      </c>
      <c r="L160" s="47">
        <f>CEILING(TBL_CalcDarwin[[#This Row],[Darwin Gusts
m/s]],0.5)</f>
        <v>5.5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60" s="41">
        <f>INDEX(Curva_Temp[Temp],MATCH(TBL_CalcDarwin[[#This Row],[Darwin Temp.
°C]],Curva_Temp[Temp]))</f>
        <v>15</v>
      </c>
      <c r="R160" s="41">
        <f>INDEX(Curva_Temp[Warranted Power Curve for 
1.194Kg/m3 air density '[kW']
SG 5.0-145 (AM+1, 5.2MW) AT 
90M],MATCH(TBL_CalcDarwin[[#This Row],[Darwin Temp.
°C]],Curva_Temp[Temp]))</f>
        <v>5200</v>
      </c>
      <c r="S160" s="41" cm="1">
        <f t="array" ref="S160">INDEX(Curva_Temp[Temp],MATCH(TBL_CalcDarwin[[#This Row],[Darwin Temp.
°C]],Curva_Temp[Temp])+1)</f>
        <v>20</v>
      </c>
      <c r="T160" s="41" cm="1">
        <f t="array" ref="T160">INDEX(Curva_Temp[Warranted Power Curve for 
1.194Kg/m3 air density '[kW']
SG 5.0-145 (AM+1, 5.2MW) AT 
90M],MATCH(TBL_CalcDarwin[[#This Row],[Darwin Temp.
°C]],Curva_Temp[Temp])+1)</f>
        <v>5000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60" s="41">
        <f>INDEX(Curva_Temp[Temp],MATCH(TBL_CalcDarwin[[#This Row],[Darwin Temp.
°C]],Curva_Temp[Temp]))</f>
        <v>15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20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5000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13.215999999999999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60" s="29">
        <f>TBL_CalcDarwin[[#This Row],[Expansión - Barra B - 5.2 - Cerro]]*TBL_CalcDarwin[[#This Row],[AEG 5.2 MW Cerro]]</f>
        <v>0.24399999999999999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45450.624999999622</v>
      </c>
      <c r="C161" s="17">
        <f t="shared" si="15"/>
        <v>6.6250000000000124</v>
      </c>
      <c r="D161" s="34">
        <f>TBL_CalcDarwin[[#This Row],[Darwin PLOM
MW]]+TBL_CalcDarwin[[#This Row],[Darwin PLOME
MW]]</f>
        <v>40.074999999999996</v>
      </c>
      <c r="E161" s="34">
        <f>TBL_CalcDarwin[[#This Row],[PLOM MW TOTAL BARRA A]]+TBL_CalcDarwin[[#This Row],[PLOM MW TOTAL BARRA B]]</f>
        <v>38.763999999999996</v>
      </c>
      <c r="F161" s="34">
        <f>TBL_CalcDarwin[[#This Row],[PLOME MW TOTAL BARRA A]]+TBL_CalcDarwin[[#This Row],[PLOME MW TOTAL BARRA B]]</f>
        <v>1.3109999999999999</v>
      </c>
      <c r="G161" s="48">
        <f>'Plantilla Datos'!D166</f>
        <v>4.4000000000000004</v>
      </c>
      <c r="H161" s="48">
        <f>'Plantilla Datos'!E166</f>
        <v>5.7</v>
      </c>
      <c r="I161" s="49">
        <f>'Plantilla Datos'!F166</f>
        <v>18.7</v>
      </c>
      <c r="J161" s="47">
        <f>CEILING('Plantilla Datos'!$L$3*TBL_CalcDarwin[[#This Row],[Darwin Gusts
m/s]],0.5)</f>
        <v>4.5</v>
      </c>
      <c r="K161" s="47">
        <f>CEILING('Plantilla Datos'!$L$4*TBL_CalcDarwin[[#This Row],[Darwin Gusts
m/s]],0.5)</f>
        <v>5</v>
      </c>
      <c r="L161" s="47">
        <f>CEILING(TBL_CalcDarwin[[#This Row],[Darwin Gusts
m/s]],0.5)</f>
        <v>6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61" s="41">
        <f>INDEX(Curva_Temp[Temp],MATCH(TBL_CalcDarwin[[#This Row],[Darwin Temp.
°C]],Curva_Temp[Temp]))</f>
        <v>15</v>
      </c>
      <c r="R161" s="41">
        <f>INDEX(Curva_Temp[Warranted Power Curve for 
1.194Kg/m3 air density '[kW']
SG 5.0-145 (AM+1, 5.2MW) AT 
90M],MATCH(TBL_CalcDarwin[[#This Row],[Darwin Temp.
°C]],Curva_Temp[Temp]))</f>
        <v>5200</v>
      </c>
      <c r="S161" s="41" cm="1">
        <f t="array" ref="S161">INDEX(Curva_Temp[Temp],MATCH(TBL_CalcDarwin[[#This Row],[Darwin Temp.
°C]],Curva_Temp[Temp])+1)</f>
        <v>20</v>
      </c>
      <c r="T161" s="41" cm="1">
        <f t="array" ref="T161">INDEX(Curva_Temp[Warranted Power Curve for 
1.194Kg/m3 air density '[kW']
SG 5.0-145 (AM+1, 5.2MW) AT 
90M],MATCH(TBL_CalcDarwin[[#This Row],[Darwin Temp.
°C]],Curva_Temp[Temp])+1)</f>
        <v>5000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61" s="41">
        <f>INDEX(Curva_Temp[Temp],MATCH(TBL_CalcDarwin[[#This Row],[Darwin Temp.
°C]],Curva_Temp[Temp]))</f>
        <v>15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20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5000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61" s="29">
        <f>TBL_CalcDarwin[[#This Row],[Expansión - Barra B - 5.2 - Cerro]]*TBL_CalcDarwin[[#This Row],[AEG 5.2 MW Cerro]]</f>
        <v>0.38200000000000001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45450.666666666286</v>
      </c>
      <c r="C162" s="17">
        <f t="shared" si="15"/>
        <v>6.6666666666666794</v>
      </c>
      <c r="D162" s="34">
        <f>TBL_CalcDarwin[[#This Row],[Darwin PLOM
MW]]+TBL_CalcDarwin[[#This Row],[Darwin PLOME
MW]]</f>
        <v>52.546999999999997</v>
      </c>
      <c r="E162" s="34">
        <f>TBL_CalcDarwin[[#This Row],[PLOM MW TOTAL BARRA A]]+TBL_CalcDarwin[[#This Row],[PLOM MW TOTAL BARRA B]]</f>
        <v>50.707999999999998</v>
      </c>
      <c r="F162" s="34">
        <f>TBL_CalcDarwin[[#This Row],[PLOME MW TOTAL BARRA A]]+TBL_CalcDarwin[[#This Row],[PLOME MW TOTAL BARRA B]]</f>
        <v>1.839</v>
      </c>
      <c r="G162" s="48">
        <f>'Plantilla Datos'!D167</f>
        <v>4.9000000000000004</v>
      </c>
      <c r="H162" s="48">
        <f>'Plantilla Datos'!E167</f>
        <v>6.3</v>
      </c>
      <c r="I162" s="49">
        <f>'Plantilla Datos'!F167</f>
        <v>18.5</v>
      </c>
      <c r="J162" s="47">
        <f>CEILING('Plantilla Datos'!$L$3*TBL_CalcDarwin[[#This Row],[Darwin Gusts
m/s]],0.5)</f>
        <v>5</v>
      </c>
      <c r="K162" s="47">
        <f>CEILING('Plantilla Datos'!$L$4*TBL_CalcDarwin[[#This Row],[Darwin Gusts
m/s]],0.5)</f>
        <v>5.5</v>
      </c>
      <c r="L162" s="47">
        <f>CEILING(TBL_CalcDarwin[[#This Row],[Darwin Gusts
m/s]],0.5)</f>
        <v>6.5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62" s="41">
        <f>INDEX(Curva_Temp[Temp],MATCH(TBL_CalcDarwin[[#This Row],[Darwin Temp.
°C]],Curva_Temp[Temp]))</f>
        <v>15</v>
      </c>
      <c r="R162" s="41">
        <f>INDEX(Curva_Temp[Warranted Power Curve for 
1.194Kg/m3 air density '[kW']
SG 5.0-145 (AM+1, 5.2MW) AT 
90M],MATCH(TBL_CalcDarwin[[#This Row],[Darwin Temp.
°C]],Curva_Temp[Temp]))</f>
        <v>5200</v>
      </c>
      <c r="S162" s="41" cm="1">
        <f t="array" ref="S162">INDEX(Curva_Temp[Temp],MATCH(TBL_CalcDarwin[[#This Row],[Darwin Temp.
°C]],Curva_Temp[Temp])+1)</f>
        <v>20</v>
      </c>
      <c r="T162" s="41" cm="1">
        <f t="array" ref="T162">INDEX(Curva_Temp[Warranted Power Curve for 
1.194Kg/m3 air density '[kW']
SG 5.0-145 (AM+1, 5.2MW) AT 
90M],MATCH(TBL_CalcDarwin[[#This Row],[Darwin Temp.
°C]],Curva_Temp[Temp])+1)</f>
        <v>5000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62" s="41">
        <f>INDEX(Curva_Temp[Temp],MATCH(TBL_CalcDarwin[[#This Row],[Darwin Temp.
°C]],Curva_Temp[Temp]))</f>
        <v>15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20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5000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62" s="29">
        <f>TBL_CalcDarwin[[#This Row],[Expansión - Barra B - 5.2 - Cerro]]*TBL_CalcDarwin[[#This Row],[AEG 5.2 MW Cerro]]</f>
        <v>0.54700000000000004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45450.70833333295</v>
      </c>
      <c r="C163" s="17">
        <f t="shared" si="15"/>
        <v>6.7083333333333464</v>
      </c>
      <c r="D163" s="34">
        <f>TBL_CalcDarwin[[#This Row],[Darwin PLOM
MW]]+TBL_CalcDarwin[[#This Row],[Darwin PLOME
MW]]</f>
        <v>65.656999999999996</v>
      </c>
      <c r="E163" s="34">
        <f>TBL_CalcDarwin[[#This Row],[PLOM MW TOTAL BARRA A]]+TBL_CalcDarwin[[#This Row],[PLOM MW TOTAL BARRA B]]</f>
        <v>63.58</v>
      </c>
      <c r="F163" s="34">
        <f>TBL_CalcDarwin[[#This Row],[PLOME MW TOTAL BARRA A]]+TBL_CalcDarwin[[#This Row],[PLOME MW TOTAL BARRA B]]</f>
        <v>2.077</v>
      </c>
      <c r="G163" s="48">
        <f>'Plantilla Datos'!D168</f>
        <v>5.4</v>
      </c>
      <c r="H163" s="48">
        <f>'Plantilla Datos'!E168</f>
        <v>6.9</v>
      </c>
      <c r="I163" s="49">
        <f>'Plantilla Datos'!F168</f>
        <v>18.3</v>
      </c>
      <c r="J163" s="47">
        <f>CEILING('Plantilla Datos'!$L$3*TBL_CalcDarwin[[#This Row],[Darwin Gusts
m/s]],0.5)</f>
        <v>5</v>
      </c>
      <c r="K163" s="47">
        <f>CEILING('Plantilla Datos'!$L$4*TBL_CalcDarwin[[#This Row],[Darwin Gusts
m/s]],0.5)</f>
        <v>6</v>
      </c>
      <c r="L163" s="47">
        <f>CEILING(TBL_CalcDarwin[[#This Row],[Darwin Gusts
m/s]],0.5)</f>
        <v>7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63" s="41">
        <f>INDEX(Curva_Temp[Temp],MATCH(TBL_CalcDarwin[[#This Row],[Darwin Temp.
°C]],Curva_Temp[Temp]))</f>
        <v>15</v>
      </c>
      <c r="R163" s="41">
        <f>INDEX(Curva_Temp[Warranted Power Curve for 
1.194Kg/m3 air density '[kW']
SG 5.0-145 (AM+1, 5.2MW) AT 
90M],MATCH(TBL_CalcDarwin[[#This Row],[Darwin Temp.
°C]],Curva_Temp[Temp]))</f>
        <v>5200</v>
      </c>
      <c r="S163" s="41" cm="1">
        <f t="array" ref="S163">INDEX(Curva_Temp[Temp],MATCH(TBL_CalcDarwin[[#This Row],[Darwin Temp.
°C]],Curva_Temp[Temp])+1)</f>
        <v>20</v>
      </c>
      <c r="T163" s="41" cm="1">
        <f t="array" ref="T163">INDEX(Curva_Temp[Warranted Power Curve for 
1.194Kg/m3 air density '[kW']
SG 5.0-145 (AM+1, 5.2MW) AT 
90M],MATCH(TBL_CalcDarwin[[#This Row],[Darwin Temp.
°C]],Curva_Temp[Temp])+1)</f>
        <v>5000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63" s="41">
        <f>INDEX(Curva_Temp[Temp],MATCH(TBL_CalcDarwin[[#This Row],[Darwin Temp.
°C]],Curva_Temp[Temp]))</f>
        <v>15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20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5000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63" s="29">
        <f>TBL_CalcDarwin[[#This Row],[Expansión - Barra B - 5.2 - Cerro]]*TBL_CalcDarwin[[#This Row],[AEG 5.2 MW Cerro]]</f>
        <v>0.54700000000000004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45450.749999999614</v>
      </c>
      <c r="C164" s="17">
        <f t="shared" si="15"/>
        <v>6.7500000000000133</v>
      </c>
      <c r="D164" s="34">
        <f>TBL_CalcDarwin[[#This Row],[Darwin PLOM
MW]]+TBL_CalcDarwin[[#This Row],[Darwin PLOME
MW]]</f>
        <v>95.75</v>
      </c>
      <c r="E164" s="34">
        <f>TBL_CalcDarwin[[#This Row],[PLOM MW TOTAL BARRA A]]+TBL_CalcDarwin[[#This Row],[PLOM MW TOTAL BARRA B]]</f>
        <v>92.994</v>
      </c>
      <c r="F164" s="34">
        <f>TBL_CalcDarwin[[#This Row],[PLOME MW TOTAL BARRA A]]+TBL_CalcDarwin[[#This Row],[PLOME MW TOTAL BARRA B]]</f>
        <v>2.7560000000000002</v>
      </c>
      <c r="G164" s="48">
        <f>'Plantilla Datos'!D169</f>
        <v>5.9</v>
      </c>
      <c r="H164" s="48">
        <f>'Plantilla Datos'!E169</f>
        <v>7.6</v>
      </c>
      <c r="I164" s="49">
        <f>'Plantilla Datos'!F169</f>
        <v>17.8</v>
      </c>
      <c r="J164" s="47">
        <f>CEILING('Plantilla Datos'!$L$3*TBL_CalcDarwin[[#This Row],[Darwin Gusts
m/s]],0.5)</f>
        <v>5.5</v>
      </c>
      <c r="K164" s="47">
        <f>CEILING('Plantilla Datos'!$L$4*TBL_CalcDarwin[[#This Row],[Darwin Gusts
m/s]],0.5)</f>
        <v>6.5</v>
      </c>
      <c r="L164" s="47">
        <f>CEILING(TBL_CalcDarwin[[#This Row],[Darwin Gusts
m/s]],0.5)</f>
        <v>8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64" s="41">
        <f>INDEX(Curva_Temp[Temp],MATCH(TBL_CalcDarwin[[#This Row],[Darwin Temp.
°C]],Curva_Temp[Temp]))</f>
        <v>15</v>
      </c>
      <c r="R164" s="41">
        <f>INDEX(Curva_Temp[Warranted Power Curve for 
1.194Kg/m3 air density '[kW']
SG 5.0-145 (AM+1, 5.2MW) AT 
90M],MATCH(TBL_CalcDarwin[[#This Row],[Darwin Temp.
°C]],Curva_Temp[Temp]))</f>
        <v>5200</v>
      </c>
      <c r="S164" s="41" cm="1">
        <f t="array" ref="S164">INDEX(Curva_Temp[Temp],MATCH(TBL_CalcDarwin[[#This Row],[Darwin Temp.
°C]],Curva_Temp[Temp])+1)</f>
        <v>20</v>
      </c>
      <c r="T164" s="41" cm="1">
        <f t="array" ref="T164">INDEX(Curva_Temp[Warranted Power Curve for 
1.194Kg/m3 air density '[kW']
SG 5.0-145 (AM+1, 5.2MW) AT 
90M],MATCH(TBL_CalcDarwin[[#This Row],[Darwin Temp.
°C]],Curva_Temp[Temp])+1)</f>
        <v>5000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64" s="41">
        <f>INDEX(Curva_Temp[Temp],MATCH(TBL_CalcDarwin[[#This Row],[Darwin Temp.
°C]],Curva_Temp[Temp]))</f>
        <v>15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20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5000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64" s="29">
        <f>TBL_CalcDarwin[[#This Row],[Expansión - Barra B - 5.2 - Cerro]]*TBL_CalcDarwin[[#This Row],[AEG 5.2 MW Cerro]]</f>
        <v>0.745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45450.791666666279</v>
      </c>
      <c r="C165" s="17">
        <f t="shared" si="15"/>
        <v>6.7916666666666803</v>
      </c>
      <c r="D165" s="34">
        <f>TBL_CalcDarwin[[#This Row],[Darwin PLOM
MW]]+TBL_CalcDarwin[[#This Row],[Darwin PLOME
MW]]</f>
        <v>116.11200000000001</v>
      </c>
      <c r="E165" s="34">
        <f>TBL_CalcDarwin[[#This Row],[PLOM MW TOTAL BARRA A]]+TBL_CalcDarwin[[#This Row],[PLOM MW TOTAL BARRA B]]</f>
        <v>112.54900000000001</v>
      </c>
      <c r="F165" s="34">
        <f>TBL_CalcDarwin[[#This Row],[PLOME MW TOTAL BARRA A]]+TBL_CalcDarwin[[#This Row],[PLOME MW TOTAL BARRA B]]</f>
        <v>3.5630000000000002</v>
      </c>
      <c r="G165" s="48">
        <f>'Plantilla Datos'!D170</f>
        <v>6.5</v>
      </c>
      <c r="H165" s="48">
        <f>'Plantilla Datos'!E170</f>
        <v>8.1999999999999993</v>
      </c>
      <c r="I165" s="49">
        <f>'Plantilla Datos'!F170</f>
        <v>17.399999999999999</v>
      </c>
      <c r="J165" s="47">
        <f>CEILING('Plantilla Datos'!$L$3*TBL_CalcDarwin[[#This Row],[Darwin Gusts
m/s]],0.5)</f>
        <v>6</v>
      </c>
      <c r="K165" s="47">
        <f>CEILING('Plantilla Datos'!$L$4*TBL_CalcDarwin[[#This Row],[Darwin Gusts
m/s]],0.5)</f>
        <v>7</v>
      </c>
      <c r="L165" s="47">
        <f>CEILING(TBL_CalcDarwin[[#This Row],[Darwin Gusts
m/s]],0.5)</f>
        <v>8.5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65" s="41">
        <f>INDEX(Curva_Temp[Temp],MATCH(TBL_CalcDarwin[[#This Row],[Darwin Temp.
°C]],Curva_Temp[Temp]))</f>
        <v>15</v>
      </c>
      <c r="R165" s="41">
        <f>INDEX(Curva_Temp[Warranted Power Curve for 
1.194Kg/m3 air density '[kW']
SG 5.0-145 (AM+1, 5.2MW) AT 
90M],MATCH(TBL_CalcDarwin[[#This Row],[Darwin Temp.
°C]],Curva_Temp[Temp]))</f>
        <v>5200</v>
      </c>
      <c r="S165" s="41" cm="1">
        <f t="array" ref="S165">INDEX(Curva_Temp[Temp],MATCH(TBL_CalcDarwin[[#This Row],[Darwin Temp.
°C]],Curva_Temp[Temp])+1)</f>
        <v>20</v>
      </c>
      <c r="T165" s="41" cm="1">
        <f t="array" ref="T165">INDEX(Curva_Temp[Warranted Power Curve for 
1.194Kg/m3 air density '[kW']
SG 5.0-145 (AM+1, 5.2MW) AT 
90M],MATCH(TBL_CalcDarwin[[#This Row],[Darwin Temp.
°C]],Curva_Temp[Temp])+1)</f>
        <v>5000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65" s="41">
        <f>INDEX(Curva_Temp[Temp],MATCH(TBL_CalcDarwin[[#This Row],[Darwin Temp.
°C]],Curva_Temp[Temp]))</f>
        <v>15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20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5000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65" s="29">
        <f>TBL_CalcDarwin[[#This Row],[Expansión - Barra B - 5.2 - Cerro]]*TBL_CalcDarwin[[#This Row],[AEG 5.2 MW Cerro]]</f>
        <v>0.98299999999999998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45450.833333332943</v>
      </c>
      <c r="C166" s="17">
        <f t="shared" si="15"/>
        <v>6.8333333333333472</v>
      </c>
      <c r="D166" s="34">
        <f>TBL_CalcDarwin[[#This Row],[Darwin PLOM
MW]]+TBL_CalcDarwin[[#This Row],[Darwin PLOME
MW]]</f>
        <v>101.629</v>
      </c>
      <c r="E166" s="34">
        <f>TBL_CalcDarwin[[#This Row],[PLOM MW TOTAL BARRA A]]+TBL_CalcDarwin[[#This Row],[PLOM MW TOTAL BARRA B]]</f>
        <v>98.066000000000003</v>
      </c>
      <c r="F166" s="34">
        <f>TBL_CalcDarwin[[#This Row],[PLOME MW TOTAL BARRA A]]+TBL_CalcDarwin[[#This Row],[PLOME MW TOTAL BARRA B]]</f>
        <v>3.5630000000000002</v>
      </c>
      <c r="G166" s="48">
        <f>'Plantilla Datos'!D171</f>
        <v>6.3</v>
      </c>
      <c r="H166" s="48">
        <f>'Plantilla Datos'!E171</f>
        <v>8</v>
      </c>
      <c r="I166" s="49">
        <f>'Plantilla Datos'!F171</f>
        <v>17.3</v>
      </c>
      <c r="J166" s="47">
        <f>CEILING('Plantilla Datos'!$L$3*TBL_CalcDarwin[[#This Row],[Darwin Gusts
m/s]],0.5)</f>
        <v>6</v>
      </c>
      <c r="K166" s="47">
        <f>CEILING('Plantilla Datos'!$L$4*TBL_CalcDarwin[[#This Row],[Darwin Gusts
m/s]],0.5)</f>
        <v>7</v>
      </c>
      <c r="L166" s="47">
        <f>CEILING(TBL_CalcDarwin[[#This Row],[Darwin Gusts
m/s]],0.5)</f>
        <v>8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66" s="41">
        <f>INDEX(Curva_Temp[Temp],MATCH(TBL_CalcDarwin[[#This Row],[Darwin Temp.
°C]],Curva_Temp[Temp]))</f>
        <v>15</v>
      </c>
      <c r="R166" s="41">
        <f>INDEX(Curva_Temp[Warranted Power Curve for 
1.194Kg/m3 air density '[kW']
SG 5.0-145 (AM+1, 5.2MW) AT 
90M],MATCH(TBL_CalcDarwin[[#This Row],[Darwin Temp.
°C]],Curva_Temp[Temp]))</f>
        <v>5200</v>
      </c>
      <c r="S166" s="41" cm="1">
        <f t="array" ref="S166">INDEX(Curva_Temp[Temp],MATCH(TBL_CalcDarwin[[#This Row],[Darwin Temp.
°C]],Curva_Temp[Temp])+1)</f>
        <v>20</v>
      </c>
      <c r="T166" s="41" cm="1">
        <f t="array" ref="T166">INDEX(Curva_Temp[Warranted Power Curve for 
1.194Kg/m3 air density '[kW']
SG 5.0-145 (AM+1, 5.2MW) AT 
90M],MATCH(TBL_CalcDarwin[[#This Row],[Darwin Temp.
°C]],Curva_Temp[Temp])+1)</f>
        <v>5000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66" s="41">
        <f>INDEX(Curva_Temp[Temp],MATCH(TBL_CalcDarwin[[#This Row],[Darwin Temp.
°C]],Curva_Temp[Temp]))</f>
        <v>15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20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5000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66" s="29">
        <f>TBL_CalcDarwin[[#This Row],[Expansión - Barra B - 5.2 - Cerro]]*TBL_CalcDarwin[[#This Row],[AEG 5.2 MW Cerro]]</f>
        <v>0.98299999999999998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45450.874999999607</v>
      </c>
      <c r="C167" s="17">
        <f>C166+TIME(1,0,0)</f>
        <v>6.8750000000000142</v>
      </c>
      <c r="D167" s="34">
        <f>TBL_CalcDarwin[[#This Row],[Darwin PLOM
MW]]+TBL_CalcDarwin[[#This Row],[Darwin PLOME
MW]]</f>
        <v>101.629</v>
      </c>
      <c r="E167" s="34">
        <f>TBL_CalcDarwin[[#This Row],[PLOM MW TOTAL BARRA A]]+TBL_CalcDarwin[[#This Row],[PLOM MW TOTAL BARRA B]]</f>
        <v>98.066000000000003</v>
      </c>
      <c r="F167" s="34">
        <f>TBL_CalcDarwin[[#This Row],[PLOME MW TOTAL BARRA A]]+TBL_CalcDarwin[[#This Row],[PLOME MW TOTAL BARRA B]]</f>
        <v>3.5630000000000002</v>
      </c>
      <c r="G167" s="48">
        <f>'Plantilla Datos'!D172</f>
        <v>6.2</v>
      </c>
      <c r="H167" s="48">
        <f>'Plantilla Datos'!E172</f>
        <v>7.9</v>
      </c>
      <c r="I167" s="49">
        <f>'Plantilla Datos'!F172</f>
        <v>17.100000000000001</v>
      </c>
      <c r="J167" s="47">
        <f>CEILING('Plantilla Datos'!$L$3*TBL_CalcDarwin[[#This Row],[Darwin Gusts
m/s]],0.5)</f>
        <v>6</v>
      </c>
      <c r="K167" s="47">
        <f>CEILING('Plantilla Datos'!$L$4*TBL_CalcDarwin[[#This Row],[Darwin Gusts
m/s]],0.5)</f>
        <v>7</v>
      </c>
      <c r="L167" s="47">
        <f>CEILING(TBL_CalcDarwin[[#This Row],[Darwin Gusts
m/s]],0.5)</f>
        <v>8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67" s="41">
        <f>INDEX(Curva_Temp[Temp],MATCH(TBL_CalcDarwin[[#This Row],[Darwin Temp.
°C]],Curva_Temp[Temp]))</f>
        <v>15</v>
      </c>
      <c r="R167" s="41">
        <f>INDEX(Curva_Temp[Warranted Power Curve for 
1.194Kg/m3 air density '[kW']
SG 5.0-145 (AM+1, 5.2MW) AT 
90M],MATCH(TBL_CalcDarwin[[#This Row],[Darwin Temp.
°C]],Curva_Temp[Temp]))</f>
        <v>5200</v>
      </c>
      <c r="S167" s="41" cm="1">
        <f t="array" ref="S167">INDEX(Curva_Temp[Temp],MATCH(TBL_CalcDarwin[[#This Row],[Darwin Temp.
°C]],Curva_Temp[Temp])+1)</f>
        <v>20</v>
      </c>
      <c r="T167" s="41" cm="1">
        <f t="array" ref="T167">INDEX(Curva_Temp[Warranted Power Curve for 
1.194Kg/m3 air density '[kW']
SG 5.0-145 (AM+1, 5.2MW) AT 
90M],MATCH(TBL_CalcDarwin[[#This Row],[Darwin Temp.
°C]],Curva_Temp[Temp])+1)</f>
        <v>5000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67" s="41">
        <f>INDEX(Curva_Temp[Temp],MATCH(TBL_CalcDarwin[[#This Row],[Darwin Temp.
°C]],Curva_Temp[Temp]))</f>
        <v>15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20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5000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67" s="29">
        <f>TBL_CalcDarwin[[#This Row],[Expansión - Barra B - 5.2 - Cerro]]*TBL_CalcDarwin[[#This Row],[AEG 5.2 MW Cerro]]</f>
        <v>0.98299999999999998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45450.916666666271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101.629</v>
      </c>
      <c r="E168" s="34">
        <f>TBL_CalcDarwin[[#This Row],[PLOM MW TOTAL BARRA A]]+TBL_CalcDarwin[[#This Row],[PLOM MW TOTAL BARRA B]]</f>
        <v>98.066000000000003</v>
      </c>
      <c r="F168" s="34">
        <f>TBL_CalcDarwin[[#This Row],[PLOME MW TOTAL BARRA A]]+TBL_CalcDarwin[[#This Row],[PLOME MW TOTAL BARRA B]]</f>
        <v>3.5630000000000002</v>
      </c>
      <c r="G168" s="48">
        <f>'Plantilla Datos'!D173</f>
        <v>6.1</v>
      </c>
      <c r="H168" s="48">
        <f>'Plantilla Datos'!E173</f>
        <v>7.7</v>
      </c>
      <c r="I168" s="49">
        <f>'Plantilla Datos'!F173</f>
        <v>16.899999999999999</v>
      </c>
      <c r="J168" s="47">
        <f>CEILING('Plantilla Datos'!$L$3*TBL_CalcDarwin[[#This Row],[Darwin Gusts
m/s]],0.5)</f>
        <v>6</v>
      </c>
      <c r="K168" s="47">
        <f>CEILING('Plantilla Datos'!$L$4*TBL_CalcDarwin[[#This Row],[Darwin Gusts
m/s]],0.5)</f>
        <v>7</v>
      </c>
      <c r="L168" s="47">
        <f>CEILING(TBL_CalcDarwin[[#This Row],[Darwin Gusts
m/s]],0.5)</f>
        <v>8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68" s="41">
        <f>INDEX(Curva_Temp[Temp],MATCH(TBL_CalcDarwin[[#This Row],[Darwin Temp.
°C]],Curva_Temp[Temp]))</f>
        <v>15</v>
      </c>
      <c r="R168" s="41">
        <f>INDEX(Curva_Temp[Warranted Power Curve for 
1.194Kg/m3 air density '[kW']
SG 5.0-145 (AM+1, 5.2MW) AT 
90M],MATCH(TBL_CalcDarwin[[#This Row],[Darwin Temp.
°C]],Curva_Temp[Temp]))</f>
        <v>5200</v>
      </c>
      <c r="S168" s="41" cm="1">
        <f t="array" ref="S168">INDEX(Curva_Temp[Temp],MATCH(TBL_CalcDarwin[[#This Row],[Darwin Temp.
°C]],Curva_Temp[Temp])+1)</f>
        <v>20</v>
      </c>
      <c r="T168" s="41" cm="1">
        <f t="array" ref="T168">INDEX(Curva_Temp[Warranted Power Curve for 
1.194Kg/m3 air density '[kW']
SG 5.0-145 (AM+1, 5.2MW) AT 
90M],MATCH(TBL_CalcDarwin[[#This Row],[Darwin Temp.
°C]],Curva_Temp[Temp])+1)</f>
        <v>5000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68" s="41">
        <f>INDEX(Curva_Temp[Temp],MATCH(TBL_CalcDarwin[[#This Row],[Darwin Temp.
°C]],Curva_Temp[Temp]))</f>
        <v>15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20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5000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68" s="29">
        <f>TBL_CalcDarwin[[#This Row],[Expansión - Barra B - 5.2 - Cerro]]*TBL_CalcDarwin[[#This Row],[AEG 5.2 MW Cerro]]</f>
        <v>0.98299999999999998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45450.958333332936</v>
      </c>
      <c r="C169" s="17">
        <f t="shared" si="16"/>
        <v>6.9583333333333481</v>
      </c>
      <c r="D169" s="34">
        <f>TBL_CalcDarwin[[#This Row],[Darwin PLOM
MW]]+TBL_CalcDarwin[[#This Row],[Darwin PLOME
MW]]</f>
        <v>95.75</v>
      </c>
      <c r="E169" s="34">
        <f>TBL_CalcDarwin[[#This Row],[PLOM MW TOTAL BARRA A]]+TBL_CalcDarwin[[#This Row],[PLOM MW TOTAL BARRA B]]</f>
        <v>92.994</v>
      </c>
      <c r="F169" s="34">
        <f>TBL_CalcDarwin[[#This Row],[PLOME MW TOTAL BARRA A]]+TBL_CalcDarwin[[#This Row],[PLOME MW TOTAL BARRA B]]</f>
        <v>2.7560000000000002</v>
      </c>
      <c r="G169" s="48">
        <f>'Plantilla Datos'!D174</f>
        <v>6</v>
      </c>
      <c r="H169" s="48">
        <f>'Plantilla Datos'!E174</f>
        <v>7.6</v>
      </c>
      <c r="I169" s="49">
        <f>'Plantilla Datos'!F174</f>
        <v>16.8</v>
      </c>
      <c r="J169" s="47">
        <f>CEILING('Plantilla Datos'!$L$3*TBL_CalcDarwin[[#This Row],[Darwin Gusts
m/s]],0.5)</f>
        <v>5.5</v>
      </c>
      <c r="K169" s="47">
        <f>CEILING('Plantilla Datos'!$L$4*TBL_CalcDarwin[[#This Row],[Darwin Gusts
m/s]],0.5)</f>
        <v>6.5</v>
      </c>
      <c r="L169" s="47">
        <f>CEILING(TBL_CalcDarwin[[#This Row],[Darwin Gusts
m/s]],0.5)</f>
        <v>8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69" s="41">
        <f>INDEX(Curva_Temp[Temp],MATCH(TBL_CalcDarwin[[#This Row],[Darwin Temp.
°C]],Curva_Temp[Temp]))</f>
        <v>15</v>
      </c>
      <c r="R169" s="41">
        <f>INDEX(Curva_Temp[Warranted Power Curve for 
1.194Kg/m3 air density '[kW']
SG 5.0-145 (AM+1, 5.2MW) AT 
90M],MATCH(TBL_CalcDarwin[[#This Row],[Darwin Temp.
°C]],Curva_Temp[Temp]))</f>
        <v>5200</v>
      </c>
      <c r="S169" s="41" cm="1">
        <f t="array" ref="S169">INDEX(Curva_Temp[Temp],MATCH(TBL_CalcDarwin[[#This Row],[Darwin Temp.
°C]],Curva_Temp[Temp])+1)</f>
        <v>20</v>
      </c>
      <c r="T169" s="41" cm="1">
        <f t="array" ref="T169">INDEX(Curva_Temp[Warranted Power Curve for 
1.194Kg/m3 air density '[kW']
SG 5.0-145 (AM+1, 5.2MW) AT 
90M],MATCH(TBL_CalcDarwin[[#This Row],[Darwin Temp.
°C]],Curva_Temp[Temp])+1)</f>
        <v>5000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69" s="41">
        <f>INDEX(Curva_Temp[Temp],MATCH(TBL_CalcDarwin[[#This Row],[Darwin Temp.
°C]],Curva_Temp[Temp]))</f>
        <v>15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20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5000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69" s="29">
        <f>TBL_CalcDarwin[[#This Row],[Expansión - Barra B - 5.2 - Cerro]]*TBL_CalcDarwin[[#This Row],[AEG 5.2 MW Cerro]]</f>
        <v>0.745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45450.9999999996</v>
      </c>
      <c r="C170" s="17">
        <f t="shared" si="16"/>
        <v>7.0000000000000151</v>
      </c>
      <c r="D170" s="34">
        <f>TBL_CalcDarwin[[#This Row],[Darwin PLOM
MW]]+TBL_CalcDarwin[[#This Row],[Darwin PLOME
MW]]</f>
        <v>79.186999999999998</v>
      </c>
      <c r="E170" s="34">
        <f>TBL_CalcDarwin[[#This Row],[PLOM MW TOTAL BARRA A]]+TBL_CalcDarwin[[#This Row],[PLOM MW TOTAL BARRA B]]</f>
        <v>76.430999999999997</v>
      </c>
      <c r="F170" s="34">
        <f>TBL_CalcDarwin[[#This Row],[PLOME MW TOTAL BARRA A]]+TBL_CalcDarwin[[#This Row],[PLOME MW TOTAL BARRA B]]</f>
        <v>2.7560000000000002</v>
      </c>
      <c r="G170" s="48">
        <f>'Plantilla Datos'!D175</f>
        <v>5.8</v>
      </c>
      <c r="H170" s="48">
        <f>'Plantilla Datos'!E175</f>
        <v>7.4</v>
      </c>
      <c r="I170" s="49">
        <f>'Plantilla Datos'!F175</f>
        <v>16.600000000000001</v>
      </c>
      <c r="J170" s="47">
        <f>CEILING('Plantilla Datos'!$L$3*TBL_CalcDarwin[[#This Row],[Darwin Gusts
m/s]],0.5)</f>
        <v>5.5</v>
      </c>
      <c r="K170" s="47">
        <f>CEILING('Plantilla Datos'!$L$4*TBL_CalcDarwin[[#This Row],[Darwin Gusts
m/s]],0.5)</f>
        <v>6.5</v>
      </c>
      <c r="L170" s="47">
        <f>CEILING(TBL_CalcDarwin[[#This Row],[Darwin Gusts
m/s]],0.5)</f>
        <v>7.5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0" s="41">
        <f>INDEX(Curva_Temp[Temp],MATCH(TBL_CalcDarwin[[#This Row],[Darwin Temp.
°C]],Curva_Temp[Temp]))</f>
        <v>15</v>
      </c>
      <c r="R170" s="41">
        <f>INDEX(Curva_Temp[Warranted Power Curve for 
1.194Kg/m3 air density '[kW']
SG 5.0-145 (AM+1, 5.2MW) AT 
90M],MATCH(TBL_CalcDarwin[[#This Row],[Darwin Temp.
°C]],Curva_Temp[Temp]))</f>
        <v>5200</v>
      </c>
      <c r="S170" s="41" cm="1">
        <f t="array" ref="S170">INDEX(Curva_Temp[Temp],MATCH(TBL_CalcDarwin[[#This Row],[Darwin Temp.
°C]],Curva_Temp[Temp])+1)</f>
        <v>20</v>
      </c>
      <c r="T170" s="41" cm="1">
        <f t="array" ref="T170">INDEX(Curva_Temp[Warranted Power Curve for 
1.194Kg/m3 air density '[kW']
SG 5.0-145 (AM+1, 5.2MW) AT 
90M],MATCH(TBL_CalcDarwin[[#This Row],[Darwin Temp.
°C]],Curva_Temp[Temp])+1)</f>
        <v>5000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0" s="41">
        <f>INDEX(Curva_Temp[Temp],MATCH(TBL_CalcDarwin[[#This Row],[Darwin Temp.
°C]],Curva_Temp[Temp]))</f>
        <v>15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20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5000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0" s="29">
        <f>TBL_CalcDarwin[[#This Row],[Expansión - Barra B - 5.2 - Cerro]]*TBL_CalcDarwin[[#This Row],[AEG 5.2 MW Cerro]]</f>
        <v>0.745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45451.041666666264</v>
      </c>
      <c r="C171" s="17">
        <f t="shared" si="16"/>
        <v>7.0416666666666821</v>
      </c>
      <c r="D171" s="34">
        <f>TBL_CalcDarwin[[#This Row],[Darwin PLOM
MW]]+TBL_CalcDarwin[[#This Row],[Darwin PLOME
MW]]</f>
        <v>79.186999999999998</v>
      </c>
      <c r="E171" s="34">
        <f>TBL_CalcDarwin[[#This Row],[PLOM MW TOTAL BARRA A]]+TBL_CalcDarwin[[#This Row],[PLOM MW TOTAL BARRA B]]</f>
        <v>76.430999999999997</v>
      </c>
      <c r="F171" s="34">
        <f>TBL_CalcDarwin[[#This Row],[PLOME MW TOTAL BARRA A]]+TBL_CalcDarwin[[#This Row],[PLOME MW TOTAL BARRA B]]</f>
        <v>2.7560000000000002</v>
      </c>
      <c r="G171" s="48">
        <f>'Plantilla Datos'!D176</f>
        <v>5.7</v>
      </c>
      <c r="H171" s="48">
        <f>'Plantilla Datos'!E176</f>
        <v>7.3</v>
      </c>
      <c r="I171" s="49">
        <f>'Plantilla Datos'!F176</f>
        <v>16.5</v>
      </c>
      <c r="J171" s="47">
        <f>CEILING('Plantilla Datos'!$L$3*TBL_CalcDarwin[[#This Row],[Darwin Gusts
m/s]],0.5)</f>
        <v>5.5</v>
      </c>
      <c r="K171" s="47">
        <f>CEILING('Plantilla Datos'!$L$4*TBL_CalcDarwin[[#This Row],[Darwin Gusts
m/s]],0.5)</f>
        <v>6.5</v>
      </c>
      <c r="L171" s="47">
        <f>CEILING(TBL_CalcDarwin[[#This Row],[Darwin Gusts
m/s]],0.5)</f>
        <v>7.5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1" s="41">
        <f>INDEX(Curva_Temp[Temp],MATCH(TBL_CalcDarwin[[#This Row],[Darwin Temp.
°C]],Curva_Temp[Temp]))</f>
        <v>15</v>
      </c>
      <c r="R171" s="41">
        <f>INDEX(Curva_Temp[Warranted Power Curve for 
1.194Kg/m3 air density '[kW']
SG 5.0-145 (AM+1, 5.2MW) AT 
90M],MATCH(TBL_CalcDarwin[[#This Row],[Darwin Temp.
°C]],Curva_Temp[Temp]))</f>
        <v>5200</v>
      </c>
      <c r="S171" s="41" cm="1">
        <f t="array" ref="S171">INDEX(Curva_Temp[Temp],MATCH(TBL_CalcDarwin[[#This Row],[Darwin Temp.
°C]],Curva_Temp[Temp])+1)</f>
        <v>20</v>
      </c>
      <c r="T171" s="41" cm="1">
        <f t="array" ref="T171">INDEX(Curva_Temp[Warranted Power Curve for 
1.194Kg/m3 air density '[kW']
SG 5.0-145 (AM+1, 5.2MW) AT 
90M],MATCH(TBL_CalcDarwin[[#This Row],[Darwin Temp.
°C]],Curva_Temp[Temp])+1)</f>
        <v>5000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1" s="41">
        <f>INDEX(Curva_Temp[Temp],MATCH(TBL_CalcDarwin[[#This Row],[Darwin Temp.
°C]],Curva_Temp[Temp]))</f>
        <v>15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20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5000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1" s="29">
        <f>TBL_CalcDarwin[[#This Row],[Expansión - Barra B - 5.2 - Cerro]]*TBL_CalcDarwin[[#This Row],[AEG 5.2 MW Cerro]]</f>
        <v>0.745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45451.083333332928</v>
      </c>
      <c r="C172" s="17">
        <f t="shared" si="16"/>
        <v>7.083333333333349</v>
      </c>
      <c r="D172" s="34">
        <f>TBL_CalcDarwin[[#This Row],[Darwin PLOM
MW]]+TBL_CalcDarwin[[#This Row],[Darwin PLOME
MW]]</f>
        <v>53.153999999999996</v>
      </c>
      <c r="E172" s="34">
        <f>TBL_CalcDarwin[[#This Row],[PLOM MW TOTAL BARRA A]]+TBL_CalcDarwin[[#This Row],[PLOM MW TOTAL BARRA B]]</f>
        <v>51.076999999999998</v>
      </c>
      <c r="F172" s="34">
        <f>TBL_CalcDarwin[[#This Row],[PLOME MW TOTAL BARRA A]]+TBL_CalcDarwin[[#This Row],[PLOME MW TOTAL BARRA B]]</f>
        <v>2.077</v>
      </c>
      <c r="G172" s="48">
        <f>'Plantilla Datos'!D177</f>
        <v>5.0999999999999996</v>
      </c>
      <c r="H172" s="48">
        <f>'Plantilla Datos'!E177</f>
        <v>6.5</v>
      </c>
      <c r="I172" s="49">
        <f>'Plantilla Datos'!F177</f>
        <v>16.399999999999999</v>
      </c>
      <c r="J172" s="47">
        <f>CEILING('Plantilla Datos'!$L$3*TBL_CalcDarwin[[#This Row],[Darwin Gusts
m/s]],0.5)</f>
        <v>5</v>
      </c>
      <c r="K172" s="47">
        <f>CEILING('Plantilla Datos'!$L$4*TBL_CalcDarwin[[#This Row],[Darwin Gusts
m/s]],0.5)</f>
        <v>6</v>
      </c>
      <c r="L172" s="47">
        <f>CEILING(TBL_CalcDarwin[[#This Row],[Darwin Gusts
m/s]],0.5)</f>
        <v>6.5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72" s="41">
        <f>INDEX(Curva_Temp[Temp],MATCH(TBL_CalcDarwin[[#This Row],[Darwin Temp.
°C]],Curva_Temp[Temp]))</f>
        <v>15</v>
      </c>
      <c r="R172" s="41">
        <f>INDEX(Curva_Temp[Warranted Power Curve for 
1.194Kg/m3 air density '[kW']
SG 5.0-145 (AM+1, 5.2MW) AT 
90M],MATCH(TBL_CalcDarwin[[#This Row],[Darwin Temp.
°C]],Curva_Temp[Temp]))</f>
        <v>5200</v>
      </c>
      <c r="S172" s="41" cm="1">
        <f t="array" ref="S172">INDEX(Curva_Temp[Temp],MATCH(TBL_CalcDarwin[[#This Row],[Darwin Temp.
°C]],Curva_Temp[Temp])+1)</f>
        <v>20</v>
      </c>
      <c r="T172" s="41" cm="1">
        <f t="array" ref="T172">INDEX(Curva_Temp[Warranted Power Curve for 
1.194Kg/m3 air density '[kW']
SG 5.0-145 (AM+1, 5.2MW) AT 
90M],MATCH(TBL_CalcDarwin[[#This Row],[Darwin Temp.
°C]],Curva_Temp[Temp])+1)</f>
        <v>5000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72" s="41">
        <f>INDEX(Curva_Temp[Temp],MATCH(TBL_CalcDarwin[[#This Row],[Darwin Temp.
°C]],Curva_Temp[Temp]))</f>
        <v>15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20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5000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72" s="29">
        <f>TBL_CalcDarwin[[#This Row],[Expansión - Barra B - 5.2 - Cerro]]*TBL_CalcDarwin[[#This Row],[AEG 5.2 MW Cerro]]</f>
        <v>0.54700000000000004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45451.124999999593</v>
      </c>
      <c r="C173" s="17">
        <f>C172+TIME(1,0,0)</f>
        <v>7.125000000000016</v>
      </c>
      <c r="D173" s="34">
        <f>TBL_CalcDarwin[[#This Row],[Darwin PLOM
MW]]+TBL_CalcDarwin[[#This Row],[Darwin PLOME
MW]]</f>
        <v>38.544999999999995</v>
      </c>
      <c r="E173" s="34">
        <f>TBL_CalcDarwin[[#This Row],[PLOM MW TOTAL BARRA A]]+TBL_CalcDarwin[[#This Row],[PLOM MW TOTAL BARRA B]]</f>
        <v>37.233999999999995</v>
      </c>
      <c r="F173" s="34">
        <f>TBL_CalcDarwin[[#This Row],[PLOME MW TOTAL BARRA A]]+TBL_CalcDarwin[[#This Row],[PLOME MW TOTAL BARRA B]]</f>
        <v>1.3109999999999999</v>
      </c>
      <c r="G173" s="48">
        <f>'Plantilla Datos'!D178</f>
        <v>4.4000000000000004</v>
      </c>
      <c r="H173" s="48">
        <f>'Plantilla Datos'!E178</f>
        <v>5.7</v>
      </c>
      <c r="I173" s="49">
        <f>'Plantilla Datos'!F178</f>
        <v>16.399999999999999</v>
      </c>
      <c r="J173" s="47">
        <f>CEILING('Plantilla Datos'!$L$3*TBL_CalcDarwin[[#This Row],[Darwin Gusts
m/s]],0.5)</f>
        <v>4.5</v>
      </c>
      <c r="K173" s="47">
        <f>CEILING('Plantilla Datos'!$L$4*TBL_CalcDarwin[[#This Row],[Darwin Gusts
m/s]],0.5)</f>
        <v>5</v>
      </c>
      <c r="L173" s="47">
        <f>CEILING(TBL_CalcDarwin[[#This Row],[Darwin Gusts
m/s]],0.5)</f>
        <v>6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73" s="41">
        <f>INDEX(Curva_Temp[Temp],MATCH(TBL_CalcDarwin[[#This Row],[Darwin Temp.
°C]],Curva_Temp[Temp]))</f>
        <v>15</v>
      </c>
      <c r="R173" s="41">
        <f>INDEX(Curva_Temp[Warranted Power Curve for 
1.194Kg/m3 air density '[kW']
SG 5.0-145 (AM+1, 5.2MW) AT 
90M],MATCH(TBL_CalcDarwin[[#This Row],[Darwin Temp.
°C]],Curva_Temp[Temp]))</f>
        <v>5200</v>
      </c>
      <c r="S173" s="41" cm="1">
        <f t="array" ref="S173">INDEX(Curva_Temp[Temp],MATCH(TBL_CalcDarwin[[#This Row],[Darwin Temp.
°C]],Curva_Temp[Temp])+1)</f>
        <v>20</v>
      </c>
      <c r="T173" s="41" cm="1">
        <f t="array" ref="T173">INDEX(Curva_Temp[Warranted Power Curve for 
1.194Kg/m3 air density '[kW']
SG 5.0-145 (AM+1, 5.2MW) AT 
90M],MATCH(TBL_CalcDarwin[[#This Row],[Darwin Temp.
°C]],Curva_Temp[Temp])+1)</f>
        <v>5000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73" s="41">
        <f>INDEX(Curva_Temp[Temp],MATCH(TBL_CalcDarwin[[#This Row],[Darwin Temp.
°C]],Curva_Temp[Temp]))</f>
        <v>15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20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5000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73" s="29">
        <f>TBL_CalcDarwin[[#This Row],[Expansión - Barra B - 5.2 - Cerro]]*TBL_CalcDarwin[[#This Row],[AEG 5.2 MW Cerro]]</f>
        <v>0.38200000000000001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45451.166666666257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22.497000000000003</v>
      </c>
      <c r="E174" s="34">
        <f>TBL_CalcDarwin[[#This Row],[PLOM MW TOTAL BARRA A]]+TBL_CalcDarwin[[#This Row],[PLOM MW TOTAL BARRA B]]</f>
        <v>21.627000000000002</v>
      </c>
      <c r="F174" s="34">
        <f>TBL_CalcDarwin[[#This Row],[PLOME MW TOTAL BARRA A]]+TBL_CalcDarwin[[#This Row],[PLOME MW TOTAL BARRA B]]</f>
        <v>0.87</v>
      </c>
      <c r="G174" s="48">
        <f>'Plantilla Datos'!D179</f>
        <v>3.8</v>
      </c>
      <c r="H174" s="48">
        <f>'Plantilla Datos'!E179</f>
        <v>5</v>
      </c>
      <c r="I174" s="49">
        <f>'Plantilla Datos'!F179</f>
        <v>16.399999999999999</v>
      </c>
      <c r="J174" s="47">
        <f>CEILING('Plantilla Datos'!$L$3*TBL_CalcDarwin[[#This Row],[Darwin Gusts
m/s]],0.5)</f>
        <v>4</v>
      </c>
      <c r="K174" s="47">
        <f>CEILING('Plantilla Datos'!$L$4*TBL_CalcDarwin[[#This Row],[Darwin Gusts
m/s]],0.5)</f>
        <v>4.5</v>
      </c>
      <c r="L174" s="47">
        <f>CEILING(TBL_CalcDarwin[[#This Row],[Darwin Gusts
m/s]],0.5)</f>
        <v>5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74" s="41">
        <f>INDEX(Curva_Temp[Temp],MATCH(TBL_CalcDarwin[[#This Row],[Darwin Temp.
°C]],Curva_Temp[Temp]))</f>
        <v>15</v>
      </c>
      <c r="R174" s="41">
        <f>INDEX(Curva_Temp[Warranted Power Curve for 
1.194Kg/m3 air density '[kW']
SG 5.0-145 (AM+1, 5.2MW) AT 
90M],MATCH(TBL_CalcDarwin[[#This Row],[Darwin Temp.
°C]],Curva_Temp[Temp]))</f>
        <v>5200</v>
      </c>
      <c r="S174" s="41" cm="1">
        <f t="array" ref="S174">INDEX(Curva_Temp[Temp],MATCH(TBL_CalcDarwin[[#This Row],[Darwin Temp.
°C]],Curva_Temp[Temp])+1)</f>
        <v>20</v>
      </c>
      <c r="T174" s="41" cm="1">
        <f t="array" ref="T174">INDEX(Curva_Temp[Warranted Power Curve for 
1.194Kg/m3 air density '[kW']
SG 5.0-145 (AM+1, 5.2MW) AT 
90M],MATCH(TBL_CalcDarwin[[#This Row],[Darwin Temp.
°C]],Curva_Temp[Temp])+1)</f>
        <v>5000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74" s="41">
        <f>INDEX(Curva_Temp[Temp],MATCH(TBL_CalcDarwin[[#This Row],[Darwin Temp.
°C]],Curva_Temp[Temp]))</f>
        <v>15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20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5000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74" s="29">
        <f>TBL_CalcDarwin[[#This Row],[Expansión - Barra B - 5.2 - Cerro]]*TBL_CalcDarwin[[#This Row],[AEG 5.2 MW Cerro]]</f>
        <v>0.24399999999999999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45451.208333332921</v>
      </c>
      <c r="C175" s="17">
        <f t="shared" si="17"/>
        <v>7.2083333333333499</v>
      </c>
      <c r="D175" s="34">
        <f>TBL_CalcDarwin[[#This Row],[Darwin PLOM
MW]]+TBL_CalcDarwin[[#This Row],[Darwin PLOME
MW]]</f>
        <v>15.102</v>
      </c>
      <c r="E175" s="34">
        <f>TBL_CalcDarwin[[#This Row],[PLOM MW TOTAL BARRA A]]+TBL_CalcDarwin[[#This Row],[PLOM MW TOTAL BARRA B]]</f>
        <v>14.598000000000001</v>
      </c>
      <c r="F175" s="34">
        <f>TBL_CalcDarwin[[#This Row],[PLOME MW TOTAL BARRA A]]+TBL_CalcDarwin[[#This Row],[PLOME MW TOTAL BARRA B]]</f>
        <v>0.504</v>
      </c>
      <c r="G175" s="48">
        <f>'Plantilla Datos'!D180</f>
        <v>3.1</v>
      </c>
      <c r="H175" s="48">
        <f>'Plantilla Datos'!E180</f>
        <v>4.2</v>
      </c>
      <c r="I175" s="49">
        <f>'Plantilla Datos'!F180</f>
        <v>16.3</v>
      </c>
      <c r="J175" s="47">
        <f>CEILING('Plantilla Datos'!$L$3*TBL_CalcDarwin[[#This Row],[Darwin Gusts
m/s]],0.5)</f>
        <v>3.5</v>
      </c>
      <c r="K175" s="47">
        <f>CEILING('Plantilla Datos'!$L$4*TBL_CalcDarwin[[#This Row],[Darwin Gusts
m/s]],0.5)</f>
        <v>4</v>
      </c>
      <c r="L175" s="47">
        <f>CEILING(TBL_CalcDarwin[[#This Row],[Darwin Gusts
m/s]],0.5)</f>
        <v>4.5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75" s="41">
        <f>INDEX(Curva_Temp[Temp],MATCH(TBL_CalcDarwin[[#This Row],[Darwin Temp.
°C]],Curva_Temp[Temp]))</f>
        <v>15</v>
      </c>
      <c r="R175" s="41">
        <f>INDEX(Curva_Temp[Warranted Power Curve for 
1.194Kg/m3 air density '[kW']
SG 5.0-145 (AM+1, 5.2MW) AT 
90M],MATCH(TBL_CalcDarwin[[#This Row],[Darwin Temp.
°C]],Curva_Temp[Temp]))</f>
        <v>5200</v>
      </c>
      <c r="S175" s="41" cm="1">
        <f t="array" ref="S175">INDEX(Curva_Temp[Temp],MATCH(TBL_CalcDarwin[[#This Row],[Darwin Temp.
°C]],Curva_Temp[Temp])+1)</f>
        <v>20</v>
      </c>
      <c r="T175" s="41" cm="1">
        <f t="array" ref="T175">INDEX(Curva_Temp[Warranted Power Curve for 
1.194Kg/m3 air density '[kW']
SG 5.0-145 (AM+1, 5.2MW) AT 
90M],MATCH(TBL_CalcDarwin[[#This Row],[Darwin Temp.
°C]],Curva_Temp[Temp])+1)</f>
        <v>5000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75" s="41">
        <f>INDEX(Curva_Temp[Temp],MATCH(TBL_CalcDarwin[[#This Row],[Darwin Temp.
°C]],Curva_Temp[Temp]))</f>
        <v>15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20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5000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75" s="29">
        <f>TBL_CalcDarwin[[#This Row],[Expansión - Barra B - 5.2 - Cerro]]*TBL_CalcDarwin[[#This Row],[AEG 5.2 MW Cerro]]</f>
        <v>0.13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45451.249999999585</v>
      </c>
      <c r="C176" s="17">
        <f t="shared" si="17"/>
        <v>7.2500000000000169</v>
      </c>
      <c r="D176" s="34">
        <f>TBL_CalcDarwin[[#This Row],[Darwin PLOM
MW]]+TBL_CalcDarwin[[#This Row],[Darwin PLOME
MW]]</f>
        <v>4.47</v>
      </c>
      <c r="E176" s="34">
        <f>TBL_CalcDarwin[[#This Row],[PLOM MW TOTAL BARRA A]]+TBL_CalcDarwin[[#This Row],[PLOM MW TOTAL BARRA B]]</f>
        <v>4.415</v>
      </c>
      <c r="F176" s="34">
        <f>TBL_CalcDarwin[[#This Row],[PLOME MW TOTAL BARRA A]]+TBL_CalcDarwin[[#This Row],[PLOME MW TOTAL BARRA B]]</f>
        <v>5.5E-2</v>
      </c>
      <c r="G176" s="48">
        <f>'Plantilla Datos'!D181</f>
        <v>2.5</v>
      </c>
      <c r="H176" s="48">
        <f>'Plantilla Datos'!E181</f>
        <v>3.4</v>
      </c>
      <c r="I176" s="49">
        <f>'Plantilla Datos'!F181</f>
        <v>16.5</v>
      </c>
      <c r="J176" s="47">
        <f>CEILING('Plantilla Datos'!$L$3*TBL_CalcDarwin[[#This Row],[Darwin Gusts
m/s]],0.5)</f>
        <v>2.5</v>
      </c>
      <c r="K176" s="47">
        <f>CEILING('Plantilla Datos'!$L$4*TBL_CalcDarwin[[#This Row],[Darwin Gusts
m/s]],0.5)</f>
        <v>3</v>
      </c>
      <c r="L176" s="47">
        <f>CEILING(TBL_CalcDarwin[[#This Row],[Darwin Gusts
m/s]],0.5)</f>
        <v>3.5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76" s="41">
        <f>INDEX(Curva_Temp[Temp],MATCH(TBL_CalcDarwin[[#This Row],[Darwin Temp.
°C]],Curva_Temp[Temp]))</f>
        <v>15</v>
      </c>
      <c r="R176" s="41">
        <f>INDEX(Curva_Temp[Warranted Power Curve for 
1.194Kg/m3 air density '[kW']
SG 5.0-145 (AM+1, 5.2MW) AT 
90M],MATCH(TBL_CalcDarwin[[#This Row],[Darwin Temp.
°C]],Curva_Temp[Temp]))</f>
        <v>5200</v>
      </c>
      <c r="S176" s="41" cm="1">
        <f t="array" ref="S176">INDEX(Curva_Temp[Temp],MATCH(TBL_CalcDarwin[[#This Row],[Darwin Temp.
°C]],Curva_Temp[Temp])+1)</f>
        <v>20</v>
      </c>
      <c r="T176" s="41" cm="1">
        <f t="array" ref="T176">INDEX(Curva_Temp[Warranted Power Curve for 
1.194Kg/m3 air density '[kW']
SG 5.0-145 (AM+1, 5.2MW) AT 
90M],MATCH(TBL_CalcDarwin[[#This Row],[Darwin Temp.
°C]],Curva_Temp[Temp])+1)</f>
        <v>5000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76" s="41">
        <f>INDEX(Curva_Temp[Temp],MATCH(TBL_CalcDarwin[[#This Row],[Darwin Temp.
°C]],Curva_Temp[Temp]))</f>
        <v>15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20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5000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76" s="29">
        <f>TBL_CalcDarwin[[#This Row],[Expansión - Barra B - 5.2 - Cerro]]*TBL_CalcDarwin[[#This Row],[AEG 5.2 MW Cerro]]</f>
        <v>0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45451.29166666625</v>
      </c>
      <c r="C177" s="17">
        <f t="shared" si="17"/>
        <v>7.2916666666666838</v>
      </c>
      <c r="D177" s="34">
        <f>TBL_CalcDarwin[[#This Row],[Darwin PLOM
MW]]+TBL_CalcDarwin[[#This Row],[Darwin PLOME
MW]]</f>
        <v>1.6360000000000001</v>
      </c>
      <c r="E177" s="34">
        <f>TBL_CalcDarwin[[#This Row],[PLOM MW TOTAL BARRA A]]+TBL_CalcDarwin[[#This Row],[PLOM MW TOTAL BARRA B]]</f>
        <v>1.6360000000000001</v>
      </c>
      <c r="F177" s="34">
        <f>TBL_CalcDarwin[[#This Row],[PLOME MW TOTAL BARRA A]]+TBL_CalcDarwin[[#This Row],[PLOME MW TOTAL BARRA B]]</f>
        <v>0</v>
      </c>
      <c r="G177" s="48">
        <f>'Plantilla Datos'!D182</f>
        <v>1.9</v>
      </c>
      <c r="H177" s="48">
        <f>'Plantilla Datos'!E182</f>
        <v>2.6</v>
      </c>
      <c r="I177" s="49">
        <f>'Plantilla Datos'!F182</f>
        <v>16.899999999999999</v>
      </c>
      <c r="J177" s="47">
        <f>CEILING('Plantilla Datos'!$L$3*TBL_CalcDarwin[[#This Row],[Darwin Gusts
m/s]],0.5)</f>
        <v>2</v>
      </c>
      <c r="K177" s="47">
        <f>CEILING('Plantilla Datos'!$L$4*TBL_CalcDarwin[[#This Row],[Darwin Gusts
m/s]],0.5)</f>
        <v>2.5</v>
      </c>
      <c r="L177" s="47">
        <f>CEILING(TBL_CalcDarwin[[#This Row],[Darwin Gusts
m/s]],0.5)</f>
        <v>3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77" s="41">
        <f>INDEX(Curva_Temp[Temp],MATCH(TBL_CalcDarwin[[#This Row],[Darwin Temp.
°C]],Curva_Temp[Temp]))</f>
        <v>15</v>
      </c>
      <c r="R177" s="41">
        <f>INDEX(Curva_Temp[Warranted Power Curve for 
1.194Kg/m3 air density '[kW']
SG 5.0-145 (AM+1, 5.2MW) AT 
90M],MATCH(TBL_CalcDarwin[[#This Row],[Darwin Temp.
°C]],Curva_Temp[Temp]))</f>
        <v>5200</v>
      </c>
      <c r="S177" s="41" cm="1">
        <f t="array" ref="S177">INDEX(Curva_Temp[Temp],MATCH(TBL_CalcDarwin[[#This Row],[Darwin Temp.
°C]],Curva_Temp[Temp])+1)</f>
        <v>20</v>
      </c>
      <c r="T177" s="41" cm="1">
        <f t="array" ref="T177">INDEX(Curva_Temp[Warranted Power Curve for 
1.194Kg/m3 air density '[kW']
SG 5.0-145 (AM+1, 5.2MW) AT 
90M],MATCH(TBL_CalcDarwin[[#This Row],[Darwin Temp.
°C]],Curva_Temp[Temp])+1)</f>
        <v>5000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77" s="41">
        <f>INDEX(Curva_Temp[Temp],MATCH(TBL_CalcDarwin[[#This Row],[Darwin Temp.
°C]],Curva_Temp[Temp]))</f>
        <v>15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20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5000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7" s="29">
        <f>TBL_CalcDarwin[[#This Row],[Expansión - Barra B - 5.2 - Cerro]]*TBL_CalcDarwin[[#This Row],[AEG 5.2 MW Cerro]]</f>
        <v>0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45451.333333332914</v>
      </c>
      <c r="C178" s="17">
        <f t="shared" si="17"/>
        <v>7.3333333333333508</v>
      </c>
      <c r="D178" s="34">
        <f>TBL_CalcDarwin[[#This Row],[Darwin PLOM
MW]]+TBL_CalcDarwin[[#This Row],[Darwin PLOME
MW]]</f>
        <v>4.47</v>
      </c>
      <c r="E178" s="34">
        <f>TBL_CalcDarwin[[#This Row],[PLOM MW TOTAL BARRA A]]+TBL_CalcDarwin[[#This Row],[PLOM MW TOTAL BARRA B]]</f>
        <v>4.415</v>
      </c>
      <c r="F178" s="34">
        <f>TBL_CalcDarwin[[#This Row],[PLOME MW TOTAL BARRA A]]+TBL_CalcDarwin[[#This Row],[PLOME MW TOTAL BARRA B]]</f>
        <v>5.5E-2</v>
      </c>
      <c r="G178" s="48">
        <f>'Plantilla Datos'!D183</f>
        <v>2.4</v>
      </c>
      <c r="H178" s="48">
        <f>'Plantilla Datos'!E183</f>
        <v>3.3</v>
      </c>
      <c r="I178" s="49">
        <f>'Plantilla Datos'!F183</f>
        <v>17.100000000000001</v>
      </c>
      <c r="J178" s="47">
        <f>CEILING('Plantilla Datos'!$L$3*TBL_CalcDarwin[[#This Row],[Darwin Gusts
m/s]],0.5)</f>
        <v>2.5</v>
      </c>
      <c r="K178" s="47">
        <f>CEILING('Plantilla Datos'!$L$4*TBL_CalcDarwin[[#This Row],[Darwin Gusts
m/s]],0.5)</f>
        <v>3</v>
      </c>
      <c r="L178" s="47">
        <f>CEILING(TBL_CalcDarwin[[#This Row],[Darwin Gusts
m/s]],0.5)</f>
        <v>3.5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78" s="41">
        <f>INDEX(Curva_Temp[Temp],MATCH(TBL_CalcDarwin[[#This Row],[Darwin Temp.
°C]],Curva_Temp[Temp]))</f>
        <v>15</v>
      </c>
      <c r="R178" s="41">
        <f>INDEX(Curva_Temp[Warranted Power Curve for 
1.194Kg/m3 air density '[kW']
SG 5.0-145 (AM+1, 5.2MW) AT 
90M],MATCH(TBL_CalcDarwin[[#This Row],[Darwin Temp.
°C]],Curva_Temp[Temp]))</f>
        <v>5200</v>
      </c>
      <c r="S178" s="41" cm="1">
        <f t="array" ref="S178">INDEX(Curva_Temp[Temp],MATCH(TBL_CalcDarwin[[#This Row],[Darwin Temp.
°C]],Curva_Temp[Temp])+1)</f>
        <v>20</v>
      </c>
      <c r="T178" s="41" cm="1">
        <f t="array" ref="T178">INDEX(Curva_Temp[Warranted Power Curve for 
1.194Kg/m3 air density '[kW']
SG 5.0-145 (AM+1, 5.2MW) AT 
90M],MATCH(TBL_CalcDarwin[[#This Row],[Darwin Temp.
°C]],Curva_Temp[Temp])+1)</f>
        <v>5000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78" s="41">
        <f>INDEX(Curva_Temp[Temp],MATCH(TBL_CalcDarwin[[#This Row],[Darwin Temp.
°C]],Curva_Temp[Temp]))</f>
        <v>15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20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5000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78" s="29">
        <f>TBL_CalcDarwin[[#This Row],[Expansión - Barra B - 5.2 - Cerro]]*TBL_CalcDarwin[[#This Row],[AEG 5.2 MW Cerro]]</f>
        <v>0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45451.374999999578</v>
      </c>
      <c r="C179" s="17">
        <f t="shared" si="17"/>
        <v>7.3750000000000178</v>
      </c>
      <c r="D179" s="34">
        <f>TBL_CalcDarwin[[#This Row],[Darwin PLOM
MW]]+TBL_CalcDarwin[[#This Row],[Darwin PLOME
MW]]</f>
        <v>9.1110000000000007</v>
      </c>
      <c r="E179" s="34">
        <f>TBL_CalcDarwin[[#This Row],[PLOM MW TOTAL BARRA A]]+TBL_CalcDarwin[[#This Row],[PLOM MW TOTAL BARRA B]]</f>
        <v>8.8710000000000004</v>
      </c>
      <c r="F179" s="34">
        <f>TBL_CalcDarwin[[#This Row],[PLOME MW TOTAL BARRA A]]+TBL_CalcDarwin[[#This Row],[PLOME MW TOTAL BARRA B]]</f>
        <v>0.24</v>
      </c>
      <c r="G179" s="48">
        <f>'Plantilla Datos'!D184</f>
        <v>2.9</v>
      </c>
      <c r="H179" s="48">
        <f>'Plantilla Datos'!E184</f>
        <v>3.9</v>
      </c>
      <c r="I179" s="49">
        <f>'Plantilla Datos'!F184</f>
        <v>17.3</v>
      </c>
      <c r="J179" s="47">
        <f>CEILING('Plantilla Datos'!$L$3*TBL_CalcDarwin[[#This Row],[Darwin Gusts
m/s]],0.5)</f>
        <v>3</v>
      </c>
      <c r="K179" s="47">
        <f>CEILING('Plantilla Datos'!$L$4*TBL_CalcDarwin[[#This Row],[Darwin Gusts
m/s]],0.5)</f>
        <v>3.5</v>
      </c>
      <c r="L179" s="47">
        <f>CEILING(TBL_CalcDarwin[[#This Row],[Darwin Gusts
m/s]],0.5)</f>
        <v>4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79" s="41">
        <f>INDEX(Curva_Temp[Temp],MATCH(TBL_CalcDarwin[[#This Row],[Darwin Temp.
°C]],Curva_Temp[Temp]))</f>
        <v>15</v>
      </c>
      <c r="R179" s="41">
        <f>INDEX(Curva_Temp[Warranted Power Curve for 
1.194Kg/m3 air density '[kW']
SG 5.0-145 (AM+1, 5.2MW) AT 
90M],MATCH(TBL_CalcDarwin[[#This Row],[Darwin Temp.
°C]],Curva_Temp[Temp]))</f>
        <v>5200</v>
      </c>
      <c r="S179" s="41" cm="1">
        <f t="array" ref="S179">INDEX(Curva_Temp[Temp],MATCH(TBL_CalcDarwin[[#This Row],[Darwin Temp.
°C]],Curva_Temp[Temp])+1)</f>
        <v>20</v>
      </c>
      <c r="T179" s="41" cm="1">
        <f t="array" ref="T179">INDEX(Curva_Temp[Warranted Power Curve for 
1.194Kg/m3 air density '[kW']
SG 5.0-145 (AM+1, 5.2MW) AT 
90M],MATCH(TBL_CalcDarwin[[#This Row],[Darwin Temp.
°C]],Curva_Temp[Temp])+1)</f>
        <v>5000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79" s="41">
        <f>INDEX(Curva_Temp[Temp],MATCH(TBL_CalcDarwin[[#This Row],[Darwin Temp.
°C]],Curva_Temp[Temp]))</f>
        <v>15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20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5000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79" s="29">
        <f>TBL_CalcDarwin[[#This Row],[Expansión - Barra B - 5.2 - Cerro]]*TBL_CalcDarwin[[#This Row],[AEG 5.2 MW Cerro]]</f>
        <v>5.5E-2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45451.416666666242</v>
      </c>
      <c r="C180" s="17">
        <f t="shared" si="17"/>
        <v>7.4166666666666847</v>
      </c>
      <c r="D180" s="34">
        <f>TBL_CalcDarwin[[#This Row],[Darwin PLOM
MW]]+TBL_CalcDarwin[[#This Row],[Darwin PLOME
MW]]</f>
        <v>15.102</v>
      </c>
      <c r="E180" s="34">
        <f>TBL_CalcDarwin[[#This Row],[PLOM MW TOTAL BARRA A]]+TBL_CalcDarwin[[#This Row],[PLOM MW TOTAL BARRA B]]</f>
        <v>14.598000000000001</v>
      </c>
      <c r="F180" s="34">
        <f>TBL_CalcDarwin[[#This Row],[PLOME MW TOTAL BARRA A]]+TBL_CalcDarwin[[#This Row],[PLOME MW TOTAL BARRA B]]</f>
        <v>0.504</v>
      </c>
      <c r="G180" s="48">
        <f>'Plantilla Datos'!D185</f>
        <v>3.4</v>
      </c>
      <c r="H180" s="48">
        <f>'Plantilla Datos'!E185</f>
        <v>4.5</v>
      </c>
      <c r="I180" s="49">
        <f>'Plantilla Datos'!F185</f>
        <v>17.5</v>
      </c>
      <c r="J180" s="47">
        <f>CEILING('Plantilla Datos'!$L$3*TBL_CalcDarwin[[#This Row],[Darwin Gusts
m/s]],0.5)</f>
        <v>3.5</v>
      </c>
      <c r="K180" s="47">
        <f>CEILING('Plantilla Datos'!$L$4*TBL_CalcDarwin[[#This Row],[Darwin Gusts
m/s]],0.5)</f>
        <v>4</v>
      </c>
      <c r="L180" s="47">
        <f>CEILING(TBL_CalcDarwin[[#This Row],[Darwin Gusts
m/s]],0.5)</f>
        <v>4.5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80" s="41">
        <f>INDEX(Curva_Temp[Temp],MATCH(TBL_CalcDarwin[[#This Row],[Darwin Temp.
°C]],Curva_Temp[Temp]))</f>
        <v>15</v>
      </c>
      <c r="R180" s="41">
        <f>INDEX(Curva_Temp[Warranted Power Curve for 
1.194Kg/m3 air density '[kW']
SG 5.0-145 (AM+1, 5.2MW) AT 
90M],MATCH(TBL_CalcDarwin[[#This Row],[Darwin Temp.
°C]],Curva_Temp[Temp]))</f>
        <v>5200</v>
      </c>
      <c r="S180" s="41" cm="1">
        <f t="array" ref="S180">INDEX(Curva_Temp[Temp],MATCH(TBL_CalcDarwin[[#This Row],[Darwin Temp.
°C]],Curva_Temp[Temp])+1)</f>
        <v>20</v>
      </c>
      <c r="T180" s="41" cm="1">
        <f t="array" ref="T180">INDEX(Curva_Temp[Warranted Power Curve for 
1.194Kg/m3 air density '[kW']
SG 5.0-145 (AM+1, 5.2MW) AT 
90M],MATCH(TBL_CalcDarwin[[#This Row],[Darwin Temp.
°C]],Curva_Temp[Temp])+1)</f>
        <v>5000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80" s="41">
        <f>INDEX(Curva_Temp[Temp],MATCH(TBL_CalcDarwin[[#This Row],[Darwin Temp.
°C]],Curva_Temp[Temp]))</f>
        <v>15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20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5000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80" s="29">
        <f>TBL_CalcDarwin[[#This Row],[Expansión - Barra B - 5.2 - Cerro]]*TBL_CalcDarwin[[#This Row],[AEG 5.2 MW Cerro]]</f>
        <v>0.13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45451.458333332906</v>
      </c>
      <c r="C181" s="17">
        <f t="shared" si="17"/>
        <v>7.4583333333333517</v>
      </c>
      <c r="D181" s="34">
        <f>TBL_CalcDarwin[[#This Row],[Darwin PLOM
MW]]+TBL_CalcDarwin[[#This Row],[Darwin PLOME
MW]]</f>
        <v>29.592000000000002</v>
      </c>
      <c r="E181" s="34">
        <f>TBL_CalcDarwin[[#This Row],[PLOM MW TOTAL BARRA A]]+TBL_CalcDarwin[[#This Row],[PLOM MW TOTAL BARRA B]]</f>
        <v>28.722000000000001</v>
      </c>
      <c r="F181" s="34">
        <f>TBL_CalcDarwin[[#This Row],[PLOME MW TOTAL BARRA A]]+TBL_CalcDarwin[[#This Row],[PLOME MW TOTAL BARRA B]]</f>
        <v>0.87</v>
      </c>
      <c r="G181" s="48">
        <f>'Plantilla Datos'!D186</f>
        <v>3.9</v>
      </c>
      <c r="H181" s="48">
        <f>'Plantilla Datos'!E186</f>
        <v>5.0999999999999996</v>
      </c>
      <c r="I181" s="49">
        <f>'Plantilla Datos'!F186</f>
        <v>17.600000000000001</v>
      </c>
      <c r="J181" s="47">
        <f>CEILING('Plantilla Datos'!$L$3*TBL_CalcDarwin[[#This Row],[Darwin Gusts
m/s]],0.5)</f>
        <v>4</v>
      </c>
      <c r="K181" s="47">
        <f>CEILING('Plantilla Datos'!$L$4*TBL_CalcDarwin[[#This Row],[Darwin Gusts
m/s]],0.5)</f>
        <v>4.5</v>
      </c>
      <c r="L181" s="47">
        <f>CEILING(TBL_CalcDarwin[[#This Row],[Darwin Gusts
m/s]],0.5)</f>
        <v>5.5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81" s="41">
        <f>INDEX(Curva_Temp[Temp],MATCH(TBL_CalcDarwin[[#This Row],[Darwin Temp.
°C]],Curva_Temp[Temp]))</f>
        <v>15</v>
      </c>
      <c r="R181" s="41">
        <f>INDEX(Curva_Temp[Warranted Power Curve for 
1.194Kg/m3 air density '[kW']
SG 5.0-145 (AM+1, 5.2MW) AT 
90M],MATCH(TBL_CalcDarwin[[#This Row],[Darwin Temp.
°C]],Curva_Temp[Temp]))</f>
        <v>5200</v>
      </c>
      <c r="S181" s="41" cm="1">
        <f t="array" ref="S181">INDEX(Curva_Temp[Temp],MATCH(TBL_CalcDarwin[[#This Row],[Darwin Temp.
°C]],Curva_Temp[Temp])+1)</f>
        <v>20</v>
      </c>
      <c r="T181" s="41" cm="1">
        <f t="array" ref="T181">INDEX(Curva_Temp[Warranted Power Curve for 
1.194Kg/m3 air density '[kW']
SG 5.0-145 (AM+1, 5.2MW) AT 
90M],MATCH(TBL_CalcDarwin[[#This Row],[Darwin Temp.
°C]],Curva_Temp[Temp])+1)</f>
        <v>5000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81" s="41">
        <f>INDEX(Curva_Temp[Temp],MATCH(TBL_CalcDarwin[[#This Row],[Darwin Temp.
°C]],Curva_Temp[Temp]))</f>
        <v>15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20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5000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13.215999999999999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81" s="29">
        <f>TBL_CalcDarwin[[#This Row],[Expansión - Barra B - 5.2 - Cerro]]*TBL_CalcDarwin[[#This Row],[AEG 5.2 MW Cerro]]</f>
        <v>0.24399999999999999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45451.499999999571</v>
      </c>
      <c r="C182" s="17">
        <f t="shared" si="17"/>
        <v>7.5000000000000187</v>
      </c>
      <c r="D182" s="34">
        <f>TBL_CalcDarwin[[#This Row],[Darwin PLOM
MW]]+TBL_CalcDarwin[[#This Row],[Darwin PLOME
MW]]</f>
        <v>40.074999999999996</v>
      </c>
      <c r="E182" s="34">
        <f>TBL_CalcDarwin[[#This Row],[PLOM MW TOTAL BARRA A]]+TBL_CalcDarwin[[#This Row],[PLOM MW TOTAL BARRA B]]</f>
        <v>38.763999999999996</v>
      </c>
      <c r="F182" s="34">
        <f>TBL_CalcDarwin[[#This Row],[PLOME MW TOTAL BARRA A]]+TBL_CalcDarwin[[#This Row],[PLOME MW TOTAL BARRA B]]</f>
        <v>1.3109999999999999</v>
      </c>
      <c r="G182" s="48">
        <f>'Plantilla Datos'!D187</f>
        <v>4.4000000000000004</v>
      </c>
      <c r="H182" s="48">
        <f>'Plantilla Datos'!E187</f>
        <v>5.7</v>
      </c>
      <c r="I182" s="49">
        <f>'Plantilla Datos'!F187</f>
        <v>17.7</v>
      </c>
      <c r="J182" s="47">
        <f>CEILING('Plantilla Datos'!$L$3*TBL_CalcDarwin[[#This Row],[Darwin Gusts
m/s]],0.5)</f>
        <v>4.5</v>
      </c>
      <c r="K182" s="47">
        <f>CEILING('Plantilla Datos'!$L$4*TBL_CalcDarwin[[#This Row],[Darwin Gusts
m/s]],0.5)</f>
        <v>5</v>
      </c>
      <c r="L182" s="47">
        <f>CEILING(TBL_CalcDarwin[[#This Row],[Darwin Gusts
m/s]],0.5)</f>
        <v>6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82" s="41">
        <f>INDEX(Curva_Temp[Temp],MATCH(TBL_CalcDarwin[[#This Row],[Darwin Temp.
°C]],Curva_Temp[Temp]))</f>
        <v>15</v>
      </c>
      <c r="R182" s="41">
        <f>INDEX(Curva_Temp[Warranted Power Curve for 
1.194Kg/m3 air density '[kW']
SG 5.0-145 (AM+1, 5.2MW) AT 
90M],MATCH(TBL_CalcDarwin[[#This Row],[Darwin Temp.
°C]],Curva_Temp[Temp]))</f>
        <v>5200</v>
      </c>
      <c r="S182" s="41" cm="1">
        <f t="array" ref="S182">INDEX(Curva_Temp[Temp],MATCH(TBL_CalcDarwin[[#This Row],[Darwin Temp.
°C]],Curva_Temp[Temp])+1)</f>
        <v>20</v>
      </c>
      <c r="T182" s="41" cm="1">
        <f t="array" ref="T182">INDEX(Curva_Temp[Warranted Power Curve for 
1.194Kg/m3 air density '[kW']
SG 5.0-145 (AM+1, 5.2MW) AT 
90M],MATCH(TBL_CalcDarwin[[#This Row],[Darwin Temp.
°C]],Curva_Temp[Temp])+1)</f>
        <v>5000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82" s="41">
        <f>INDEX(Curva_Temp[Temp],MATCH(TBL_CalcDarwin[[#This Row],[Darwin Temp.
°C]],Curva_Temp[Temp]))</f>
        <v>15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20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5000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82" s="29">
        <f>TBL_CalcDarwin[[#This Row],[Expansión - Barra B - 5.2 - Cerro]]*TBL_CalcDarwin[[#This Row],[AEG 5.2 MW Cerro]]</f>
        <v>0.38200000000000001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45451.541666666235</v>
      </c>
      <c r="C183" s="17">
        <f t="shared" si="17"/>
        <v>7.5416666666666856</v>
      </c>
      <c r="D183" s="34">
        <f>TBL_CalcDarwin[[#This Row],[Darwin PLOM
MW]]+TBL_CalcDarwin[[#This Row],[Darwin PLOME
MW]]</f>
        <v>52.546999999999997</v>
      </c>
      <c r="E183" s="34">
        <f>TBL_CalcDarwin[[#This Row],[PLOM MW TOTAL BARRA A]]+TBL_CalcDarwin[[#This Row],[PLOM MW TOTAL BARRA B]]</f>
        <v>50.707999999999998</v>
      </c>
      <c r="F183" s="34">
        <f>TBL_CalcDarwin[[#This Row],[PLOME MW TOTAL BARRA A]]+TBL_CalcDarwin[[#This Row],[PLOME MW TOTAL BARRA B]]</f>
        <v>1.839</v>
      </c>
      <c r="G183" s="48">
        <f>'Plantilla Datos'!D188</f>
        <v>4.9000000000000004</v>
      </c>
      <c r="H183" s="48">
        <f>'Plantilla Datos'!E188</f>
        <v>6.3</v>
      </c>
      <c r="I183" s="49">
        <f>'Plantilla Datos'!F188</f>
        <v>17.8</v>
      </c>
      <c r="J183" s="47">
        <f>CEILING('Plantilla Datos'!$L$3*TBL_CalcDarwin[[#This Row],[Darwin Gusts
m/s]],0.5)</f>
        <v>5</v>
      </c>
      <c r="K183" s="47">
        <f>CEILING('Plantilla Datos'!$L$4*TBL_CalcDarwin[[#This Row],[Darwin Gusts
m/s]],0.5)</f>
        <v>5.5</v>
      </c>
      <c r="L183" s="47">
        <f>CEILING(TBL_CalcDarwin[[#This Row],[Darwin Gusts
m/s]],0.5)</f>
        <v>6.5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83" s="41">
        <f>INDEX(Curva_Temp[Temp],MATCH(TBL_CalcDarwin[[#This Row],[Darwin Temp.
°C]],Curva_Temp[Temp]))</f>
        <v>15</v>
      </c>
      <c r="R183" s="41">
        <f>INDEX(Curva_Temp[Warranted Power Curve for 
1.194Kg/m3 air density '[kW']
SG 5.0-145 (AM+1, 5.2MW) AT 
90M],MATCH(TBL_CalcDarwin[[#This Row],[Darwin Temp.
°C]],Curva_Temp[Temp]))</f>
        <v>5200</v>
      </c>
      <c r="S183" s="41" cm="1">
        <f t="array" ref="S183">INDEX(Curva_Temp[Temp],MATCH(TBL_CalcDarwin[[#This Row],[Darwin Temp.
°C]],Curva_Temp[Temp])+1)</f>
        <v>20</v>
      </c>
      <c r="T183" s="41" cm="1">
        <f t="array" ref="T183">INDEX(Curva_Temp[Warranted Power Curve for 
1.194Kg/m3 air density '[kW']
SG 5.0-145 (AM+1, 5.2MW) AT 
90M],MATCH(TBL_CalcDarwin[[#This Row],[Darwin Temp.
°C]],Curva_Temp[Temp])+1)</f>
        <v>5000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83" s="41">
        <f>INDEX(Curva_Temp[Temp],MATCH(TBL_CalcDarwin[[#This Row],[Darwin Temp.
°C]],Curva_Temp[Temp]))</f>
        <v>15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20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5000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83" s="29">
        <f>TBL_CalcDarwin[[#This Row],[Expansión - Barra B - 5.2 - Cerro]]*TBL_CalcDarwin[[#This Row],[AEG 5.2 MW Cerro]]</f>
        <v>0.54700000000000004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45451.583333332899</v>
      </c>
      <c r="C184" s="17">
        <f t="shared" si="17"/>
        <v>7.5833333333333526</v>
      </c>
      <c r="D184" s="34">
        <f>TBL_CalcDarwin[[#This Row],[Darwin PLOM
MW]]+TBL_CalcDarwin[[#This Row],[Darwin PLOME
MW]]</f>
        <v>82.430999999999997</v>
      </c>
      <c r="E184" s="34">
        <f>TBL_CalcDarwin[[#This Row],[PLOM MW TOTAL BARRA A]]+TBL_CalcDarwin[[#This Row],[PLOM MW TOTAL BARRA B]]</f>
        <v>79.674999999999997</v>
      </c>
      <c r="F184" s="34">
        <f>TBL_CalcDarwin[[#This Row],[PLOME MW TOTAL BARRA A]]+TBL_CalcDarwin[[#This Row],[PLOME MW TOTAL BARRA B]]</f>
        <v>2.7560000000000002</v>
      </c>
      <c r="G184" s="48">
        <f>'Plantilla Datos'!D189</f>
        <v>5.7</v>
      </c>
      <c r="H184" s="48">
        <f>'Plantilla Datos'!E189</f>
        <v>7.2</v>
      </c>
      <c r="I184" s="49">
        <f>'Plantilla Datos'!F189</f>
        <v>17.600000000000001</v>
      </c>
      <c r="J184" s="47">
        <f>CEILING('Plantilla Datos'!$L$3*TBL_CalcDarwin[[#This Row],[Darwin Gusts
m/s]],0.5)</f>
        <v>5.5</v>
      </c>
      <c r="K184" s="47">
        <f>CEILING('Plantilla Datos'!$L$4*TBL_CalcDarwin[[#This Row],[Darwin Gusts
m/s]],0.5)</f>
        <v>6.5</v>
      </c>
      <c r="L184" s="47">
        <f>CEILING(TBL_CalcDarwin[[#This Row],[Darwin Gusts
m/s]],0.5)</f>
        <v>7.5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84" s="41">
        <f>INDEX(Curva_Temp[Temp],MATCH(TBL_CalcDarwin[[#This Row],[Darwin Temp.
°C]],Curva_Temp[Temp]))</f>
        <v>15</v>
      </c>
      <c r="R184" s="41">
        <f>INDEX(Curva_Temp[Warranted Power Curve for 
1.194Kg/m3 air density '[kW']
SG 5.0-145 (AM+1, 5.2MW) AT 
90M],MATCH(TBL_CalcDarwin[[#This Row],[Darwin Temp.
°C]],Curva_Temp[Temp]))</f>
        <v>5200</v>
      </c>
      <c r="S184" s="41" cm="1">
        <f t="array" ref="S184">INDEX(Curva_Temp[Temp],MATCH(TBL_CalcDarwin[[#This Row],[Darwin Temp.
°C]],Curva_Temp[Temp])+1)</f>
        <v>20</v>
      </c>
      <c r="T184" s="41" cm="1">
        <f t="array" ref="T184">INDEX(Curva_Temp[Warranted Power Curve for 
1.194Kg/m3 air density '[kW']
SG 5.0-145 (AM+1, 5.2MW) AT 
90M],MATCH(TBL_CalcDarwin[[#This Row],[Darwin Temp.
°C]],Curva_Temp[Temp])+1)</f>
        <v>5000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84" s="41">
        <f>INDEX(Curva_Temp[Temp],MATCH(TBL_CalcDarwin[[#This Row],[Darwin Temp.
°C]],Curva_Temp[Temp]))</f>
        <v>15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20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5000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84" s="29">
        <f>TBL_CalcDarwin[[#This Row],[Expansión - Barra B - 5.2 - Cerro]]*TBL_CalcDarwin[[#This Row],[AEG 5.2 MW Cerro]]</f>
        <v>0.745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45451.624999999563</v>
      </c>
      <c r="C185" s="17">
        <f t="shared" si="17"/>
        <v>7.6250000000000195</v>
      </c>
      <c r="D185" s="34">
        <f>TBL_CalcDarwin[[#This Row],[Darwin PLOM
MW]]+TBL_CalcDarwin[[#This Row],[Darwin PLOME
MW]]</f>
        <v>116.11200000000001</v>
      </c>
      <c r="E185" s="34">
        <f>TBL_CalcDarwin[[#This Row],[PLOM MW TOTAL BARRA A]]+TBL_CalcDarwin[[#This Row],[PLOM MW TOTAL BARRA B]]</f>
        <v>112.54900000000001</v>
      </c>
      <c r="F185" s="34">
        <f>TBL_CalcDarwin[[#This Row],[PLOME MW TOTAL BARRA A]]+TBL_CalcDarwin[[#This Row],[PLOME MW TOTAL BARRA B]]</f>
        <v>3.5630000000000002</v>
      </c>
      <c r="G185" s="48">
        <f>'Plantilla Datos'!D190</f>
        <v>6.4</v>
      </c>
      <c r="H185" s="48">
        <f>'Plantilla Datos'!E190</f>
        <v>8.1</v>
      </c>
      <c r="I185" s="49">
        <f>'Plantilla Datos'!F190</f>
        <v>17.3</v>
      </c>
      <c r="J185" s="47">
        <f>CEILING('Plantilla Datos'!$L$3*TBL_CalcDarwin[[#This Row],[Darwin Gusts
m/s]],0.5)</f>
        <v>6</v>
      </c>
      <c r="K185" s="47">
        <f>CEILING('Plantilla Datos'!$L$4*TBL_CalcDarwin[[#This Row],[Darwin Gusts
m/s]],0.5)</f>
        <v>7</v>
      </c>
      <c r="L185" s="47">
        <f>CEILING(TBL_CalcDarwin[[#This Row],[Darwin Gusts
m/s]],0.5)</f>
        <v>8.5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85" s="41">
        <f>INDEX(Curva_Temp[Temp],MATCH(TBL_CalcDarwin[[#This Row],[Darwin Temp.
°C]],Curva_Temp[Temp]))</f>
        <v>15</v>
      </c>
      <c r="R185" s="41">
        <f>INDEX(Curva_Temp[Warranted Power Curve for 
1.194Kg/m3 air density '[kW']
SG 5.0-145 (AM+1, 5.2MW) AT 
90M],MATCH(TBL_CalcDarwin[[#This Row],[Darwin Temp.
°C]],Curva_Temp[Temp]))</f>
        <v>5200</v>
      </c>
      <c r="S185" s="41" cm="1">
        <f t="array" ref="S185">INDEX(Curva_Temp[Temp],MATCH(TBL_CalcDarwin[[#This Row],[Darwin Temp.
°C]],Curva_Temp[Temp])+1)</f>
        <v>20</v>
      </c>
      <c r="T185" s="41" cm="1">
        <f t="array" ref="T185">INDEX(Curva_Temp[Warranted Power Curve for 
1.194Kg/m3 air density '[kW']
SG 5.0-145 (AM+1, 5.2MW) AT 
90M],MATCH(TBL_CalcDarwin[[#This Row],[Darwin Temp.
°C]],Curva_Temp[Temp])+1)</f>
        <v>5000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85" s="41">
        <f>INDEX(Curva_Temp[Temp],MATCH(TBL_CalcDarwin[[#This Row],[Darwin Temp.
°C]],Curva_Temp[Temp]))</f>
        <v>15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20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5000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85" s="29">
        <f>TBL_CalcDarwin[[#This Row],[Expansión - Barra B - 5.2 - Cerro]]*TBL_CalcDarwin[[#This Row],[AEG 5.2 MW Cerro]]</f>
        <v>0.98299999999999998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45451.666666666228</v>
      </c>
      <c r="C186" s="17">
        <f t="shared" si="17"/>
        <v>7.6666666666666865</v>
      </c>
      <c r="D186" s="34">
        <f>TBL_CalcDarwin[[#This Row],[Darwin PLOM
MW]]+TBL_CalcDarwin[[#This Row],[Darwin PLOME
MW]]</f>
        <v>143.17100000000002</v>
      </c>
      <c r="E186" s="34">
        <f>TBL_CalcDarwin[[#This Row],[PLOM MW TOTAL BARRA A]]+TBL_CalcDarwin[[#This Row],[PLOM MW TOTAL BARRA B]]</f>
        <v>138.23000000000002</v>
      </c>
      <c r="F186" s="34">
        <f>TBL_CalcDarwin[[#This Row],[PLOME MW TOTAL BARRA A]]+TBL_CalcDarwin[[#This Row],[PLOME MW TOTAL BARRA B]]</f>
        <v>4.9409999999999998</v>
      </c>
      <c r="G186" s="48">
        <f>'Plantilla Datos'!D191</f>
        <v>7.1</v>
      </c>
      <c r="H186" s="48">
        <f>'Plantilla Datos'!E191</f>
        <v>9</v>
      </c>
      <c r="I186" s="49">
        <f>'Plantilla Datos'!F191</f>
        <v>17</v>
      </c>
      <c r="J186" s="47">
        <f>CEILING('Plantilla Datos'!$L$3*TBL_CalcDarwin[[#This Row],[Darwin Gusts
m/s]],0.5)</f>
        <v>6.5</v>
      </c>
      <c r="K186" s="47">
        <f>CEILING('Plantilla Datos'!$L$4*TBL_CalcDarwin[[#This Row],[Darwin Gusts
m/s]],0.5)</f>
        <v>8</v>
      </c>
      <c r="L186" s="47">
        <f>CEILING(TBL_CalcDarwin[[#This Row],[Darwin Gusts
m/s]],0.5)</f>
        <v>9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86" s="41">
        <f>INDEX(Curva_Temp[Temp],MATCH(TBL_CalcDarwin[[#This Row],[Darwin Temp.
°C]],Curva_Temp[Temp]))</f>
        <v>15</v>
      </c>
      <c r="R186" s="41">
        <f>INDEX(Curva_Temp[Warranted Power Curve for 
1.194Kg/m3 air density '[kW']
SG 5.0-145 (AM+1, 5.2MW) AT 
90M],MATCH(TBL_CalcDarwin[[#This Row],[Darwin Temp.
°C]],Curva_Temp[Temp]))</f>
        <v>5200</v>
      </c>
      <c r="S186" s="41" cm="1">
        <f t="array" ref="S186">INDEX(Curva_Temp[Temp],MATCH(TBL_CalcDarwin[[#This Row],[Darwin Temp.
°C]],Curva_Temp[Temp])+1)</f>
        <v>20</v>
      </c>
      <c r="T186" s="41" cm="1">
        <f t="array" ref="T186">INDEX(Curva_Temp[Warranted Power Curve for 
1.194Kg/m3 air density '[kW']
SG 5.0-145 (AM+1, 5.2MW) AT 
90M],MATCH(TBL_CalcDarwin[[#This Row],[Darwin Temp.
°C]],Curva_Temp[Temp])+1)</f>
        <v>5000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86" s="41">
        <f>INDEX(Curva_Temp[Temp],MATCH(TBL_CalcDarwin[[#This Row],[Darwin Temp.
°C]],Curva_Temp[Temp]))</f>
        <v>15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20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5000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86" s="29">
        <f>TBL_CalcDarwin[[#This Row],[Expansión - Barra B - 5.2 - Cerro]]*TBL_CalcDarwin[[#This Row],[AEG 5.2 MW Cerro]]</f>
        <v>1.266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45451.708333332892</v>
      </c>
      <c r="C187" s="17">
        <f t="shared" si="17"/>
        <v>7.7083333333333535</v>
      </c>
      <c r="D187" s="34">
        <f>TBL_CalcDarwin[[#This Row],[Darwin PLOM
MW]]+TBL_CalcDarwin[[#This Row],[Darwin PLOME
MW]]</f>
        <v>182.655</v>
      </c>
      <c r="E187" s="34">
        <f>TBL_CalcDarwin[[#This Row],[PLOM MW TOTAL BARRA A]]+TBL_CalcDarwin[[#This Row],[PLOM MW TOTAL BARRA B]]</f>
        <v>175.821</v>
      </c>
      <c r="F187" s="34">
        <f>TBL_CalcDarwin[[#This Row],[PLOME MW TOTAL BARRA A]]+TBL_CalcDarwin[[#This Row],[PLOME MW TOTAL BARRA B]]</f>
        <v>6.8339999999999996</v>
      </c>
      <c r="G187" s="48">
        <f>'Plantilla Datos'!D192</f>
        <v>7.9</v>
      </c>
      <c r="H187" s="48">
        <f>'Plantilla Datos'!E192</f>
        <v>9.9</v>
      </c>
      <c r="I187" s="49">
        <f>'Plantilla Datos'!F192</f>
        <v>16.7</v>
      </c>
      <c r="J187" s="47">
        <f>CEILING('Plantilla Datos'!$L$3*TBL_CalcDarwin[[#This Row],[Darwin Gusts
m/s]],0.5)</f>
        <v>7.5</v>
      </c>
      <c r="K187" s="47">
        <f>CEILING('Plantilla Datos'!$L$4*TBL_CalcDarwin[[#This Row],[Darwin Gusts
m/s]],0.5)</f>
        <v>8.5</v>
      </c>
      <c r="L187" s="47">
        <f>CEILING(TBL_CalcDarwin[[#This Row],[Darwin Gusts
m/s]],0.5)</f>
        <v>10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7" s="41">
        <f>INDEX(Curva_Temp[Temp],MATCH(TBL_CalcDarwin[[#This Row],[Darwin Temp.
°C]],Curva_Temp[Temp]))</f>
        <v>15</v>
      </c>
      <c r="R187" s="41">
        <f>INDEX(Curva_Temp[Warranted Power Curve for 
1.194Kg/m3 air density '[kW']
SG 5.0-145 (AM+1, 5.2MW) AT 
90M],MATCH(TBL_CalcDarwin[[#This Row],[Darwin Temp.
°C]],Curva_Temp[Temp]))</f>
        <v>5200</v>
      </c>
      <c r="S187" s="41" cm="1">
        <f t="array" ref="S187">INDEX(Curva_Temp[Temp],MATCH(TBL_CalcDarwin[[#This Row],[Darwin Temp.
°C]],Curva_Temp[Temp])+1)</f>
        <v>20</v>
      </c>
      <c r="T187" s="41" cm="1">
        <f t="array" ref="T187">INDEX(Curva_Temp[Warranted Power Curve for 
1.194Kg/m3 air density '[kW']
SG 5.0-145 (AM+1, 5.2MW) AT 
90M],MATCH(TBL_CalcDarwin[[#This Row],[Darwin Temp.
°C]],Curva_Temp[Temp])+1)</f>
        <v>5000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7" s="41">
        <f>INDEX(Curva_Temp[Temp],MATCH(TBL_CalcDarwin[[#This Row],[Darwin Temp.
°C]],Curva_Temp[Temp]))</f>
        <v>15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20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5000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87" s="29">
        <f>TBL_CalcDarwin[[#This Row],[Expansión - Barra B - 5.2 - Cerro]]*TBL_CalcDarwin[[#This Row],[AEG 5.2 MW Cerro]]</f>
        <v>1.978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45451.749999999556</v>
      </c>
      <c r="C188" s="17">
        <f t="shared" si="17"/>
        <v>7.7500000000000204</v>
      </c>
      <c r="D188" s="34">
        <f>TBL_CalcDarwin[[#This Row],[Darwin PLOM
MW]]+TBL_CalcDarwin[[#This Row],[Darwin PLOME
MW]]</f>
        <v>217.79000000000002</v>
      </c>
      <c r="E188" s="34">
        <f>TBL_CalcDarwin[[#This Row],[PLOM MW TOTAL BARRA A]]+TBL_CalcDarwin[[#This Row],[PLOM MW TOTAL BARRA B]]</f>
        <v>209.13000000000002</v>
      </c>
      <c r="F188" s="34">
        <f>TBL_CalcDarwin[[#This Row],[PLOME MW TOTAL BARRA A]]+TBL_CalcDarwin[[#This Row],[PLOME MW TOTAL BARRA B]]</f>
        <v>8.66</v>
      </c>
      <c r="G188" s="48">
        <f>'Plantilla Datos'!D193</f>
        <v>8.6</v>
      </c>
      <c r="H188" s="48">
        <f>'Plantilla Datos'!E193</f>
        <v>10.7</v>
      </c>
      <c r="I188" s="49">
        <f>'Plantilla Datos'!F193</f>
        <v>16.2</v>
      </c>
      <c r="J188" s="47">
        <f>CEILING('Plantilla Datos'!$L$3*TBL_CalcDarwin[[#This Row],[Darwin Gusts
m/s]],0.5)</f>
        <v>8</v>
      </c>
      <c r="K188" s="47">
        <f>CEILING('Plantilla Datos'!$L$4*TBL_CalcDarwin[[#This Row],[Darwin Gusts
m/s]],0.5)</f>
        <v>9.5</v>
      </c>
      <c r="L188" s="47">
        <f>CEILING(TBL_CalcDarwin[[#This Row],[Darwin Gusts
m/s]],0.5)</f>
        <v>11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88" s="41">
        <f>INDEX(Curva_Temp[Temp],MATCH(TBL_CalcDarwin[[#This Row],[Darwin Temp.
°C]],Curva_Temp[Temp]))</f>
        <v>15</v>
      </c>
      <c r="R188" s="41">
        <f>INDEX(Curva_Temp[Warranted Power Curve for 
1.194Kg/m3 air density '[kW']
SG 5.0-145 (AM+1, 5.2MW) AT 
90M],MATCH(TBL_CalcDarwin[[#This Row],[Darwin Temp.
°C]],Curva_Temp[Temp]))</f>
        <v>5200</v>
      </c>
      <c r="S188" s="41" cm="1">
        <f t="array" ref="S188">INDEX(Curva_Temp[Temp],MATCH(TBL_CalcDarwin[[#This Row],[Darwin Temp.
°C]],Curva_Temp[Temp])+1)</f>
        <v>20</v>
      </c>
      <c r="T188" s="41" cm="1">
        <f t="array" ref="T188">INDEX(Curva_Temp[Warranted Power Curve for 
1.194Kg/m3 air density '[kW']
SG 5.0-145 (AM+1, 5.2MW) AT 
90M],MATCH(TBL_CalcDarwin[[#This Row],[Darwin Temp.
°C]],Curva_Temp[Temp])+1)</f>
        <v>5000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88" s="41">
        <f>INDEX(Curva_Temp[Temp],MATCH(TBL_CalcDarwin[[#This Row],[Darwin Temp.
°C]],Curva_Temp[Temp]))</f>
        <v>15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20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5000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88" s="29">
        <f>TBL_CalcDarwin[[#This Row],[Expansión - Barra B - 5.2 - Cerro]]*TBL_CalcDarwin[[#This Row],[AEG 5.2 MW Cerro]]</f>
        <v>2.4089999999999998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45451.79166666622</v>
      </c>
      <c r="C189" s="17">
        <f t="shared" si="17"/>
        <v>7.7916666666666874</v>
      </c>
      <c r="D189" s="34">
        <f>TBL_CalcDarwin[[#This Row],[Darwin PLOM
MW]]+TBL_CalcDarwin[[#This Row],[Darwin PLOME
MW]]</f>
        <v>233.249</v>
      </c>
      <c r="E189" s="34">
        <f>TBL_CalcDarwin[[#This Row],[PLOM MW TOTAL BARRA A]]+TBL_CalcDarwin[[#This Row],[PLOM MW TOTAL BARRA B]]</f>
        <v>223.209</v>
      </c>
      <c r="F189" s="34">
        <f>TBL_CalcDarwin[[#This Row],[PLOME MW TOTAL BARRA A]]+TBL_CalcDarwin[[#This Row],[PLOME MW TOTAL BARRA B]]</f>
        <v>10.039999999999999</v>
      </c>
      <c r="G189" s="48">
        <f>'Plantilla Datos'!D194</f>
        <v>9.3000000000000007</v>
      </c>
      <c r="H189" s="48">
        <f>'Plantilla Datos'!E194</f>
        <v>11.6</v>
      </c>
      <c r="I189" s="49">
        <f>'Plantilla Datos'!F194</f>
        <v>15.8</v>
      </c>
      <c r="J189" s="47">
        <f>CEILING('Plantilla Datos'!$L$3*TBL_CalcDarwin[[#This Row],[Darwin Gusts
m/s]],0.5)</f>
        <v>8.5</v>
      </c>
      <c r="K189" s="47">
        <f>CEILING('Plantilla Datos'!$L$4*TBL_CalcDarwin[[#This Row],[Darwin Gusts
m/s]],0.5)</f>
        <v>10</v>
      </c>
      <c r="L189" s="47">
        <f>CEILING(TBL_CalcDarwin[[#This Row],[Darwin Gusts
m/s]],0.5)</f>
        <v>12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5.1680000000000001</v>
      </c>
      <c r="Q189" s="41">
        <f>INDEX(Curva_Temp[Temp],MATCH(TBL_CalcDarwin[[#This Row],[Darwin Temp.
°C]],Curva_Temp[Temp]))</f>
        <v>15</v>
      </c>
      <c r="R189" s="41">
        <f>INDEX(Curva_Temp[Warranted Power Curve for 
1.194Kg/m3 air density '[kW']
SG 5.0-145 (AM+1, 5.2MW) AT 
90M],MATCH(TBL_CalcDarwin[[#This Row],[Darwin Temp.
°C]],Curva_Temp[Temp]))</f>
        <v>5200</v>
      </c>
      <c r="S189" s="41" cm="1">
        <f t="array" ref="S189">INDEX(Curva_Temp[Temp],MATCH(TBL_CalcDarwin[[#This Row],[Darwin Temp.
°C]],Curva_Temp[Temp])+1)</f>
        <v>20</v>
      </c>
      <c r="T189" s="41" cm="1">
        <f t="array" ref="T189">INDEX(Curva_Temp[Warranted Power Curve for 
1.194Kg/m3 air density '[kW']
SG 5.0-145 (AM+1, 5.2MW) AT 
90M],MATCH(TBL_CalcDarwin[[#This Row],[Darwin Temp.
°C]],Curva_Temp[Temp])+1)</f>
        <v>5000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89" s="41">
        <f>INDEX(Curva_Temp[Temp],MATCH(TBL_CalcDarwin[[#This Row],[Darwin Temp.
°C]],Curva_Temp[Temp]))</f>
        <v>15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20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5000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110.678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112.53100000000001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89" s="29">
        <f>TBL_CalcDarwin[[#This Row],[Expansión - Barra B - 5.2 - Cerro]]*TBL_CalcDarwin[[#This Row],[AEG 5.2 MW Cerro]]</f>
        <v>2.8780000000000001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45451.833333332885</v>
      </c>
      <c r="C190" s="17">
        <f t="shared" si="17"/>
        <v>7.8333333333333544</v>
      </c>
      <c r="D190" s="34">
        <f>TBL_CalcDarwin[[#This Row],[Darwin PLOM
MW]]+TBL_CalcDarwin[[#This Row],[Darwin PLOME
MW]]</f>
        <v>241.88200000000003</v>
      </c>
      <c r="E190" s="34">
        <f>TBL_CalcDarwin[[#This Row],[PLOM MW TOTAL BARRA A]]+TBL_CalcDarwin[[#This Row],[PLOM MW TOTAL BARRA B]]</f>
        <v>230.48700000000002</v>
      </c>
      <c r="F190" s="34">
        <f>TBL_CalcDarwin[[#This Row],[PLOME MW TOTAL BARRA A]]+TBL_CalcDarwin[[#This Row],[PLOME MW TOTAL BARRA B]]</f>
        <v>11.395</v>
      </c>
      <c r="G190" s="48">
        <f>'Plantilla Datos'!D195</f>
        <v>9.5</v>
      </c>
      <c r="H190" s="48">
        <f>'Plantilla Datos'!E195</f>
        <v>11.9</v>
      </c>
      <c r="I190" s="49">
        <f>'Plantilla Datos'!F195</f>
        <v>15.6</v>
      </c>
      <c r="J190" s="47">
        <f>CEILING('Plantilla Datos'!$L$3*TBL_CalcDarwin[[#This Row],[Darwin Gusts
m/s]],0.5)</f>
        <v>9</v>
      </c>
      <c r="K190" s="47">
        <f>CEILING('Plantilla Datos'!$L$4*TBL_CalcDarwin[[#This Row],[Darwin Gusts
m/s]],0.5)</f>
        <v>10.5</v>
      </c>
      <c r="L190" s="47">
        <f>CEILING(TBL_CalcDarwin[[#This Row],[Darwin Gusts
m/s]],0.5)</f>
        <v>12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5.1760000000000002</v>
      </c>
      <c r="Q190" s="41">
        <f>INDEX(Curva_Temp[Temp],MATCH(TBL_CalcDarwin[[#This Row],[Darwin Temp.
°C]],Curva_Temp[Temp]))</f>
        <v>15</v>
      </c>
      <c r="R190" s="41">
        <f>INDEX(Curva_Temp[Warranted Power Curve for 
1.194Kg/m3 air density '[kW']
SG 5.0-145 (AM+1, 5.2MW) AT 
90M],MATCH(TBL_CalcDarwin[[#This Row],[Darwin Temp.
°C]],Curva_Temp[Temp]))</f>
        <v>5200</v>
      </c>
      <c r="S190" s="41" cm="1">
        <f t="array" ref="S190">INDEX(Curva_Temp[Temp],MATCH(TBL_CalcDarwin[[#This Row],[Darwin Temp.
°C]],Curva_Temp[Temp])+1)</f>
        <v>20</v>
      </c>
      <c r="T190" s="41" cm="1">
        <f t="array" ref="T190">INDEX(Curva_Temp[Warranted Power Curve for 
1.194Kg/m3 air density '[kW']
SG 5.0-145 (AM+1, 5.2MW) AT 
90M],MATCH(TBL_CalcDarwin[[#This Row],[Darwin Temp.
°C]],Curva_Temp[Temp])+1)</f>
        <v>5000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90" s="41">
        <f>INDEX(Curva_Temp[Temp],MATCH(TBL_CalcDarwin[[#This Row],[Darwin Temp.
°C]],Curva_Temp[Temp]))</f>
        <v>15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20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5000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116.24600000000001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114.241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90" s="29">
        <f>TBL_CalcDarwin[[#This Row],[Expansión - Barra B - 5.2 - Cerro]]*TBL_CalcDarwin[[#This Row],[AEG 5.2 MW Cerro]]</f>
        <v>3.3660000000000001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45451.874999999549</v>
      </c>
      <c r="C191" s="17">
        <f>C190+TIME(1,0,0)</f>
        <v>7.8750000000000213</v>
      </c>
      <c r="D191" s="34">
        <f>TBL_CalcDarwin[[#This Row],[Darwin PLOM
MW]]+TBL_CalcDarwin[[#This Row],[Darwin PLOME
MW]]</f>
        <v>242.179</v>
      </c>
      <c r="E191" s="34">
        <f>TBL_CalcDarwin[[#This Row],[PLOM MW TOTAL BARRA A]]+TBL_CalcDarwin[[#This Row],[PLOM MW TOTAL BARRA B]]</f>
        <v>230.78399999999999</v>
      </c>
      <c r="F191" s="34">
        <f>TBL_CalcDarwin[[#This Row],[PLOME MW TOTAL BARRA A]]+TBL_CalcDarwin[[#This Row],[PLOME MW TOTAL BARRA B]]</f>
        <v>11.395</v>
      </c>
      <c r="G191" s="48">
        <f>'Plantilla Datos'!D196</f>
        <v>9.8000000000000007</v>
      </c>
      <c r="H191" s="48">
        <f>'Plantilla Datos'!E196</f>
        <v>12.1</v>
      </c>
      <c r="I191" s="49">
        <f>'Plantilla Datos'!F196</f>
        <v>15.4</v>
      </c>
      <c r="J191" s="47">
        <f>CEILING('Plantilla Datos'!$L$3*TBL_CalcDarwin[[#This Row],[Darwin Gusts
m/s]],0.5)</f>
        <v>9</v>
      </c>
      <c r="K191" s="47">
        <f>CEILING('Plantilla Datos'!$L$4*TBL_CalcDarwin[[#This Row],[Darwin Gusts
m/s]],0.5)</f>
        <v>10.5</v>
      </c>
      <c r="L191" s="47">
        <f>CEILING(TBL_CalcDarwin[[#This Row],[Darwin Gusts
m/s]],0.5)</f>
        <v>12.5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5.1840000000000002</v>
      </c>
      <c r="Q191" s="41">
        <f>INDEX(Curva_Temp[Temp],MATCH(TBL_CalcDarwin[[#This Row],[Darwin Temp.
°C]],Curva_Temp[Temp]))</f>
        <v>15</v>
      </c>
      <c r="R191" s="41">
        <f>INDEX(Curva_Temp[Warranted Power Curve for 
1.194Kg/m3 air density '[kW']
SG 5.0-145 (AM+1, 5.2MW) AT 
90M],MATCH(TBL_CalcDarwin[[#This Row],[Darwin Temp.
°C]],Curva_Temp[Temp]))</f>
        <v>5200</v>
      </c>
      <c r="S191" s="41" cm="1">
        <f t="array" ref="S191">INDEX(Curva_Temp[Temp],MATCH(TBL_CalcDarwin[[#This Row],[Darwin Temp.
°C]],Curva_Temp[Temp])+1)</f>
        <v>20</v>
      </c>
      <c r="T191" s="41" cm="1">
        <f t="array" ref="T191">INDEX(Curva_Temp[Warranted Power Curve for 
1.194Kg/m3 air density '[kW']
SG 5.0-145 (AM+1, 5.2MW) AT 
90M],MATCH(TBL_CalcDarwin[[#This Row],[Darwin Temp.
°C]],Curva_Temp[Temp])+1)</f>
        <v>5000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91" s="41">
        <f>INDEX(Curva_Temp[Temp],MATCH(TBL_CalcDarwin[[#This Row],[Darwin Temp.
°C]],Curva_Temp[Temp]))</f>
        <v>15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20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5000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116.342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114.44200000000001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91" s="29">
        <f>TBL_CalcDarwin[[#This Row],[Expansión - Barra B - 5.2 - Cerro]]*TBL_CalcDarwin[[#This Row],[AEG 5.2 MW Cerro]]</f>
        <v>3.3660000000000001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45451.916666666213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245.887</v>
      </c>
      <c r="E192" s="34">
        <f>TBL_CalcDarwin[[#This Row],[PLOM MW TOTAL BARRA A]]+TBL_CalcDarwin[[#This Row],[PLOM MW TOTAL BARRA B]]</f>
        <v>234.19900000000001</v>
      </c>
      <c r="F192" s="34">
        <f>TBL_CalcDarwin[[#This Row],[PLOME MW TOTAL BARRA A]]+TBL_CalcDarwin[[#This Row],[PLOME MW TOTAL BARRA B]]</f>
        <v>11.688000000000001</v>
      </c>
      <c r="G192" s="48">
        <f>'Plantilla Datos'!D197</f>
        <v>10</v>
      </c>
      <c r="H192" s="48">
        <f>'Plantilla Datos'!E197</f>
        <v>12.4</v>
      </c>
      <c r="I192" s="49">
        <f>'Plantilla Datos'!F197</f>
        <v>15.2</v>
      </c>
      <c r="J192" s="47">
        <f>CEILING('Plantilla Datos'!$L$3*TBL_CalcDarwin[[#This Row],[Darwin Gusts
m/s]],0.5)</f>
        <v>9</v>
      </c>
      <c r="K192" s="47">
        <f>CEILING('Plantilla Datos'!$L$4*TBL_CalcDarwin[[#This Row],[Darwin Gusts
m/s]],0.5)</f>
        <v>11</v>
      </c>
      <c r="L192" s="47">
        <f>CEILING(TBL_CalcDarwin[[#This Row],[Darwin Gusts
m/s]],0.5)</f>
        <v>12.5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5.1920000000000002</v>
      </c>
      <c r="Q192" s="41">
        <f>INDEX(Curva_Temp[Temp],MATCH(TBL_CalcDarwin[[#This Row],[Darwin Temp.
°C]],Curva_Temp[Temp]))</f>
        <v>15</v>
      </c>
      <c r="R192" s="41">
        <f>INDEX(Curva_Temp[Warranted Power Curve for 
1.194Kg/m3 air density '[kW']
SG 5.0-145 (AM+1, 5.2MW) AT 
90M],MATCH(TBL_CalcDarwin[[#This Row],[Darwin Temp.
°C]],Curva_Temp[Temp]))</f>
        <v>5200</v>
      </c>
      <c r="S192" s="41" cm="1">
        <f t="array" ref="S192">INDEX(Curva_Temp[Temp],MATCH(TBL_CalcDarwin[[#This Row],[Darwin Temp.
°C]],Curva_Temp[Temp])+1)</f>
        <v>20</v>
      </c>
      <c r="T192" s="41" cm="1">
        <f t="array" ref="T192">INDEX(Curva_Temp[Warranted Power Curve for 
1.194Kg/m3 air density '[kW']
SG 5.0-145 (AM+1, 5.2MW) AT 
90M],MATCH(TBL_CalcDarwin[[#This Row],[Darwin Temp.
°C]],Curva_Temp[Temp])+1)</f>
        <v>5000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92" s="41">
        <f>INDEX(Curva_Temp[Temp],MATCH(TBL_CalcDarwin[[#This Row],[Darwin Temp.
°C]],Curva_Temp[Temp]))</f>
        <v>15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20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5000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118.78200000000001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115.417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8.322000000000001</v>
      </c>
      <c r="AV192" s="29">
        <f>TBL_CalcDarwin[[#This Row],[Expansión - Barra B - 5.2 - Cerro]]*TBL_CalcDarwin[[#This Row],[AEG 5.2 MW Cerro]]</f>
        <v>3.3660000000000001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45451.958333332877</v>
      </c>
      <c r="C193" s="17">
        <f t="shared" si="18"/>
        <v>7.9583333333333552</v>
      </c>
      <c r="D193" s="34">
        <f>TBL_CalcDarwin[[#This Row],[Darwin PLOM
MW]]+TBL_CalcDarwin[[#This Row],[Darwin PLOME
MW]]</f>
        <v>249.92200000000003</v>
      </c>
      <c r="E193" s="34">
        <f>TBL_CalcDarwin[[#This Row],[PLOM MW TOTAL BARRA A]]+TBL_CalcDarwin[[#This Row],[PLOM MW TOTAL BARRA B]]</f>
        <v>237.28200000000001</v>
      </c>
      <c r="F193" s="34">
        <f>TBL_CalcDarwin[[#This Row],[PLOME MW TOTAL BARRA A]]+TBL_CalcDarwin[[#This Row],[PLOME MW TOTAL BARRA B]]</f>
        <v>12.64</v>
      </c>
      <c r="G193" s="48">
        <f>'Plantilla Datos'!D198</f>
        <v>10.199999999999999</v>
      </c>
      <c r="H193" s="48">
        <f>'Plantilla Datos'!E198</f>
        <v>12.6</v>
      </c>
      <c r="I193" s="49">
        <f>'Plantilla Datos'!F198</f>
        <v>15</v>
      </c>
      <c r="J193" s="47">
        <f>CEILING('Plantilla Datos'!$L$3*TBL_CalcDarwin[[#This Row],[Darwin Gusts
m/s]],0.5)</f>
        <v>9.5</v>
      </c>
      <c r="K193" s="47">
        <f>CEILING('Plantilla Datos'!$L$4*TBL_CalcDarwin[[#This Row],[Darwin Gusts
m/s]],0.5)</f>
        <v>11</v>
      </c>
      <c r="L193" s="47">
        <f>CEILING(TBL_CalcDarwin[[#This Row],[Darwin Gusts
m/s]],0.5)</f>
        <v>13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93" s="41">
        <f>INDEX(Curva_Temp[Temp],MATCH(TBL_CalcDarwin[[#This Row],[Darwin Temp.
°C]],Curva_Temp[Temp]))</f>
        <v>15</v>
      </c>
      <c r="R193" s="41">
        <f>INDEX(Curva_Temp[Warranted Power Curve for 
1.194Kg/m3 air density '[kW']
SG 5.0-145 (AM+1, 5.2MW) AT 
90M],MATCH(TBL_CalcDarwin[[#This Row],[Darwin Temp.
°C]],Curva_Temp[Temp]))</f>
        <v>5200</v>
      </c>
      <c r="S193" s="41" cm="1">
        <f t="array" ref="S193">INDEX(Curva_Temp[Temp],MATCH(TBL_CalcDarwin[[#This Row],[Darwin Temp.
°C]],Curva_Temp[Temp])+1)</f>
        <v>20</v>
      </c>
      <c r="T193" s="41" cm="1">
        <f t="array" ref="T193">INDEX(Curva_Temp[Warranted Power Curve for 
1.194Kg/m3 air density '[kW']
SG 5.0-145 (AM+1, 5.2MW) AT 
90M],MATCH(TBL_CalcDarwin[[#This Row],[Darwin Temp.
°C]],Curva_Temp[Temp])+1)</f>
        <v>5000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93" s="41">
        <f>INDEX(Curva_Temp[Temp],MATCH(TBL_CalcDarwin[[#This Row],[Darwin Temp.
°C]],Curva_Temp[Temp]))</f>
        <v>15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20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5000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121.25800000000001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116.024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93" s="29">
        <f>TBL_CalcDarwin[[#This Row],[Expansión - Barra B - 5.2 - Cerro]]*TBL_CalcDarwin[[#This Row],[AEG 5.2 MW Cerro]]</f>
        <v>3.8420000000000001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45451.999999999542</v>
      </c>
      <c r="C194" s="17">
        <f t="shared" si="18"/>
        <v>8.0000000000000213</v>
      </c>
      <c r="D194" s="34">
        <f>TBL_CalcDarwin[[#This Row],[Darwin PLOM
MW]]+TBL_CalcDarwin[[#This Row],[Darwin PLOME
MW]]</f>
        <v>239.76600000000002</v>
      </c>
      <c r="E194" s="34">
        <f>TBL_CalcDarwin[[#This Row],[PLOM MW TOTAL BARRA A]]+TBL_CalcDarwin[[#This Row],[PLOM MW TOTAL BARRA B]]</f>
        <v>227.126</v>
      </c>
      <c r="F194" s="34">
        <f>TBL_CalcDarwin[[#This Row],[PLOME MW TOTAL BARRA A]]+TBL_CalcDarwin[[#This Row],[PLOME MW TOTAL BARRA B]]</f>
        <v>12.64</v>
      </c>
      <c r="G194" s="48">
        <f>'Plantilla Datos'!D199</f>
        <v>10.4</v>
      </c>
      <c r="H194" s="48">
        <f>'Plantilla Datos'!E199</f>
        <v>12.9</v>
      </c>
      <c r="I194" s="49">
        <f>'Plantilla Datos'!F199</f>
        <v>14.8</v>
      </c>
      <c r="J194" s="47">
        <f>CEILING('Plantilla Datos'!$L$3*TBL_CalcDarwin[[#This Row],[Darwin Gusts
m/s]],0.5)</f>
        <v>9.5</v>
      </c>
      <c r="K194" s="47">
        <f>CEILING('Plantilla Datos'!$L$4*TBL_CalcDarwin[[#This Row],[Darwin Gusts
m/s]],0.5)</f>
        <v>11</v>
      </c>
      <c r="L194" s="47">
        <f>CEILING(TBL_CalcDarwin[[#This Row],[Darwin Gusts
m/s]],0.5)</f>
        <v>13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94" s="41">
        <f>INDEX(Curva_Temp[Temp],MATCH(TBL_CalcDarwin[[#This Row],[Darwin Temp.
°C]],Curva_Temp[Temp]))</f>
        <v>10</v>
      </c>
      <c r="R194" s="41">
        <f>INDEX(Curva_Temp[Warranted Power Curve for 
1.194Kg/m3 air density '[kW']
SG 5.0-145 (AM+1, 5.2MW) AT 
90M],MATCH(TBL_CalcDarwin[[#This Row],[Darwin Temp.
°C]],Curva_Temp[Temp]))</f>
        <v>5200</v>
      </c>
      <c r="S194" s="41" cm="1">
        <f t="array" ref="S194">INDEX(Curva_Temp[Temp],MATCH(TBL_CalcDarwin[[#This Row],[Darwin Temp.
°C]],Curva_Temp[Temp])+1)</f>
        <v>15</v>
      </c>
      <c r="T194" s="41" cm="1">
        <f t="array" ref="T194">INDEX(Curva_Temp[Warranted Power Curve for 
1.194Kg/m3 air density '[kW']
SG 5.0-145 (AM+1, 5.2MW) AT 
90M],MATCH(TBL_CalcDarwin[[#This Row],[Darwin Temp.
°C]],Curva_Temp[Temp])+1)</f>
        <v>5200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94" s="41">
        <f>INDEX(Curva_Temp[Temp],MATCH(TBL_CalcDarwin[[#This Row],[Darwin Temp.
°C]],Curva_Temp[Temp]))</f>
        <v>10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15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5000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111.102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116.024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94" s="29">
        <f>TBL_CalcDarwin[[#This Row],[Expansión - Barra B - 5.2 - Cerro]]*TBL_CalcDarwin[[#This Row],[AEG 5.2 MW Cerro]]</f>
        <v>3.8420000000000001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45452.041666666206</v>
      </c>
      <c r="C195" s="17">
        <f t="shared" si="18"/>
        <v>8.0416666666666874</v>
      </c>
      <c r="D195" s="34">
        <f>TBL_CalcDarwin[[#This Row],[Darwin PLOM
MW]]+TBL_CalcDarwin[[#This Row],[Darwin PLOME
MW]]</f>
        <v>245.44</v>
      </c>
      <c r="E195" s="34">
        <f>TBL_CalcDarwin[[#This Row],[PLOM MW TOTAL BARRA A]]+TBL_CalcDarwin[[#This Row],[PLOM MW TOTAL BARRA B]]</f>
        <v>231.721</v>
      </c>
      <c r="F195" s="34">
        <f>TBL_CalcDarwin[[#This Row],[PLOME MW TOTAL BARRA A]]+TBL_CalcDarwin[[#This Row],[PLOME MW TOTAL BARRA B]]</f>
        <v>13.718999999999998</v>
      </c>
      <c r="G195" s="48">
        <f>'Plantilla Datos'!D200</f>
        <v>10.6</v>
      </c>
      <c r="H195" s="48">
        <f>'Plantilla Datos'!E200</f>
        <v>13.2</v>
      </c>
      <c r="I195" s="49">
        <f>'Plantilla Datos'!F200</f>
        <v>14.6</v>
      </c>
      <c r="J195" s="47">
        <f>CEILING('Plantilla Datos'!$L$3*TBL_CalcDarwin[[#This Row],[Darwin Gusts
m/s]],0.5)</f>
        <v>10</v>
      </c>
      <c r="K195" s="47">
        <f>CEILING('Plantilla Datos'!$L$4*TBL_CalcDarwin[[#This Row],[Darwin Gusts
m/s]],0.5)</f>
        <v>11.5</v>
      </c>
      <c r="L195" s="47">
        <f>CEILING(TBL_CalcDarwin[[#This Row],[Darwin Gusts
m/s]],0.5)</f>
        <v>13.5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95" s="41">
        <f>INDEX(Curva_Temp[Temp],MATCH(TBL_CalcDarwin[[#This Row],[Darwin Temp.
°C]],Curva_Temp[Temp]))</f>
        <v>10</v>
      </c>
      <c r="R195" s="41">
        <f>INDEX(Curva_Temp[Warranted Power Curve for 
1.194Kg/m3 air density '[kW']
SG 5.0-145 (AM+1, 5.2MW) AT 
90M],MATCH(TBL_CalcDarwin[[#This Row],[Darwin Temp.
°C]],Curva_Temp[Temp]))</f>
        <v>5200</v>
      </c>
      <c r="S195" s="41" cm="1">
        <f t="array" ref="S195">INDEX(Curva_Temp[Temp],MATCH(TBL_CalcDarwin[[#This Row],[Darwin Temp.
°C]],Curva_Temp[Temp])+1)</f>
        <v>15</v>
      </c>
      <c r="T195" s="41" cm="1">
        <f t="array" ref="T195">INDEX(Curva_Temp[Warranted Power Curve for 
1.194Kg/m3 air density '[kW']
SG 5.0-145 (AM+1, 5.2MW) AT 
90M],MATCH(TBL_CalcDarwin[[#This Row],[Darwin Temp.
°C]],Curva_Temp[Temp])+1)</f>
        <v>5200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95" s="41">
        <f>INDEX(Curva_Temp[Temp],MATCH(TBL_CalcDarwin[[#This Row],[Darwin Temp.
°C]],Curva_Temp[Temp]))</f>
        <v>10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15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5000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114.67700000000001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117.04400000000001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195" s="29">
        <f>TBL_CalcDarwin[[#This Row],[Expansión - Barra B - 5.2 - Cerro]]*TBL_CalcDarwin[[#This Row],[AEG 5.2 MW Cerro]]</f>
        <v>4.2839999999999998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45452.08333333287</v>
      </c>
      <c r="C196" s="17">
        <f t="shared" si="18"/>
        <v>8.0833333333333535</v>
      </c>
      <c r="D196" s="34">
        <f>TBL_CalcDarwin[[#This Row],[Darwin PLOM
MW]]+TBL_CalcDarwin[[#This Row],[Darwin PLOME
MW]]</f>
        <v>232.70000000000002</v>
      </c>
      <c r="E196" s="34">
        <f>TBL_CalcDarwin[[#This Row],[PLOM MW TOTAL BARRA A]]+TBL_CalcDarwin[[#This Row],[PLOM MW TOTAL BARRA B]]</f>
        <v>221.30500000000001</v>
      </c>
      <c r="F196" s="34">
        <f>TBL_CalcDarwin[[#This Row],[PLOME MW TOTAL BARRA A]]+TBL_CalcDarwin[[#This Row],[PLOME MW TOTAL BARRA B]]</f>
        <v>11.395</v>
      </c>
      <c r="G196" s="48">
        <f>'Plantilla Datos'!D201</f>
        <v>9.6999999999999993</v>
      </c>
      <c r="H196" s="48">
        <f>'Plantilla Datos'!E201</f>
        <v>12.1</v>
      </c>
      <c r="I196" s="49">
        <f>'Plantilla Datos'!F201</f>
        <v>14.6</v>
      </c>
      <c r="J196" s="47">
        <f>CEILING('Plantilla Datos'!$L$3*TBL_CalcDarwin[[#This Row],[Darwin Gusts
m/s]],0.5)</f>
        <v>9</v>
      </c>
      <c r="K196" s="47">
        <f>CEILING('Plantilla Datos'!$L$4*TBL_CalcDarwin[[#This Row],[Darwin Gusts
m/s]],0.5)</f>
        <v>10.5</v>
      </c>
      <c r="L196" s="47">
        <f>CEILING(TBL_CalcDarwin[[#This Row],[Darwin Gusts
m/s]],0.5)</f>
        <v>12.5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96" s="41">
        <f>INDEX(Curva_Temp[Temp],MATCH(TBL_CalcDarwin[[#This Row],[Darwin Temp.
°C]],Curva_Temp[Temp]))</f>
        <v>10</v>
      </c>
      <c r="R196" s="41">
        <f>INDEX(Curva_Temp[Warranted Power Curve for 
1.194Kg/m3 air density '[kW']
SG 5.0-145 (AM+1, 5.2MW) AT 
90M],MATCH(TBL_CalcDarwin[[#This Row],[Darwin Temp.
°C]],Curva_Temp[Temp]))</f>
        <v>5200</v>
      </c>
      <c r="S196" s="41" cm="1">
        <f t="array" ref="S196">INDEX(Curva_Temp[Temp],MATCH(TBL_CalcDarwin[[#This Row],[Darwin Temp.
°C]],Curva_Temp[Temp])+1)</f>
        <v>15</v>
      </c>
      <c r="T196" s="41" cm="1">
        <f t="array" ref="T196">INDEX(Curva_Temp[Warranted Power Curve for 
1.194Kg/m3 air density '[kW']
SG 5.0-145 (AM+1, 5.2MW) AT 
90M],MATCH(TBL_CalcDarwin[[#This Row],[Darwin Temp.
°C]],Curva_Temp[Temp])+1)</f>
        <v>5200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96" s="41">
        <f>INDEX(Curva_Temp[Temp],MATCH(TBL_CalcDarwin[[#This Row],[Darwin Temp.
°C]],Curva_Temp[Temp]))</f>
        <v>10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15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5000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106.67100000000001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114.63400000000001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96" s="29">
        <f>TBL_CalcDarwin[[#This Row],[Expansión - Barra B - 5.2 - Cerro]]*TBL_CalcDarwin[[#This Row],[AEG 5.2 MW Cerro]]</f>
        <v>3.3660000000000001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45452.124999999534</v>
      </c>
      <c r="C197" s="17">
        <f>C196+TIME(1,0,0)</f>
        <v>8.1250000000000195</v>
      </c>
      <c r="D197" s="34">
        <f>TBL_CalcDarwin[[#This Row],[Darwin PLOM
MW]]+TBL_CalcDarwin[[#This Row],[Darwin PLOME
MW]]</f>
        <v>208.99200000000002</v>
      </c>
      <c r="E197" s="34">
        <f>TBL_CalcDarwin[[#This Row],[PLOM MW TOTAL BARRA A]]+TBL_CalcDarwin[[#This Row],[PLOM MW TOTAL BARRA B]]</f>
        <v>200.33200000000002</v>
      </c>
      <c r="F197" s="34">
        <f>TBL_CalcDarwin[[#This Row],[PLOME MW TOTAL BARRA A]]+TBL_CalcDarwin[[#This Row],[PLOME MW TOTAL BARRA B]]</f>
        <v>8.66</v>
      </c>
      <c r="G197" s="48">
        <f>'Plantilla Datos'!D202</f>
        <v>8.8000000000000007</v>
      </c>
      <c r="H197" s="48">
        <f>'Plantilla Datos'!E202</f>
        <v>11</v>
      </c>
      <c r="I197" s="49">
        <f>'Plantilla Datos'!F202</f>
        <v>14.6</v>
      </c>
      <c r="J197" s="47">
        <f>CEILING('Plantilla Datos'!$L$3*TBL_CalcDarwin[[#This Row],[Darwin Gusts
m/s]],0.5)</f>
        <v>8</v>
      </c>
      <c r="K197" s="47">
        <f>CEILING('Plantilla Datos'!$L$4*TBL_CalcDarwin[[#This Row],[Darwin Gusts
m/s]],0.5)</f>
        <v>9.5</v>
      </c>
      <c r="L197" s="47">
        <f>CEILING(TBL_CalcDarwin[[#This Row],[Darwin Gusts
m/s]],0.5)</f>
        <v>11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97" s="41">
        <f>INDEX(Curva_Temp[Temp],MATCH(TBL_CalcDarwin[[#This Row],[Darwin Temp.
°C]],Curva_Temp[Temp]))</f>
        <v>10</v>
      </c>
      <c r="R197" s="41">
        <f>INDEX(Curva_Temp[Warranted Power Curve for 
1.194Kg/m3 air density '[kW']
SG 5.0-145 (AM+1, 5.2MW) AT 
90M],MATCH(TBL_CalcDarwin[[#This Row],[Darwin Temp.
°C]],Curva_Temp[Temp]))</f>
        <v>5200</v>
      </c>
      <c r="S197" s="41" cm="1">
        <f t="array" ref="S197">INDEX(Curva_Temp[Temp],MATCH(TBL_CalcDarwin[[#This Row],[Darwin Temp.
°C]],Curva_Temp[Temp])+1)</f>
        <v>15</v>
      </c>
      <c r="T197" s="41" cm="1">
        <f t="array" ref="T197">INDEX(Curva_Temp[Warranted Power Curve for 
1.194Kg/m3 air density '[kW']
SG 5.0-145 (AM+1, 5.2MW) AT 
90M],MATCH(TBL_CalcDarwin[[#This Row],[Darwin Temp.
°C]],Curva_Temp[Temp])+1)</f>
        <v>5200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97" s="41">
        <f>INDEX(Curva_Temp[Temp],MATCH(TBL_CalcDarwin[[#This Row],[Darwin Temp.
°C]],Curva_Temp[Temp]))</f>
        <v>10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15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5000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97" s="29">
        <f>TBL_CalcDarwin[[#This Row],[Expansión - Barra B - 5.2 - Cerro]]*TBL_CalcDarwin[[#This Row],[AEG 5.2 MW Cerro]]</f>
        <v>2.4089999999999998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45452.166666666199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175.49299999999999</v>
      </c>
      <c r="E198" s="34">
        <f>TBL_CalcDarwin[[#This Row],[PLOM MW TOTAL BARRA A]]+TBL_CalcDarwin[[#This Row],[PLOM MW TOTAL BARRA B]]</f>
        <v>168.65899999999999</v>
      </c>
      <c r="F198" s="34">
        <f>TBL_CalcDarwin[[#This Row],[PLOME MW TOTAL BARRA A]]+TBL_CalcDarwin[[#This Row],[PLOME MW TOTAL BARRA B]]</f>
        <v>6.8339999999999996</v>
      </c>
      <c r="G198" s="48">
        <f>'Plantilla Datos'!D203</f>
        <v>7.9</v>
      </c>
      <c r="H198" s="48">
        <f>'Plantilla Datos'!E203</f>
        <v>9.9</v>
      </c>
      <c r="I198" s="49">
        <f>'Plantilla Datos'!F203</f>
        <v>14.7</v>
      </c>
      <c r="J198" s="47">
        <f>CEILING('Plantilla Datos'!$L$3*TBL_CalcDarwin[[#This Row],[Darwin Gusts
m/s]],0.5)</f>
        <v>7.5</v>
      </c>
      <c r="K198" s="47">
        <f>CEILING('Plantilla Datos'!$L$4*TBL_CalcDarwin[[#This Row],[Darwin Gusts
m/s]],0.5)</f>
        <v>8.5</v>
      </c>
      <c r="L198" s="47">
        <f>CEILING(TBL_CalcDarwin[[#This Row],[Darwin Gusts
m/s]],0.5)</f>
        <v>10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98" s="41">
        <f>INDEX(Curva_Temp[Temp],MATCH(TBL_CalcDarwin[[#This Row],[Darwin Temp.
°C]],Curva_Temp[Temp]))</f>
        <v>10</v>
      </c>
      <c r="R198" s="41">
        <f>INDEX(Curva_Temp[Warranted Power Curve for 
1.194Kg/m3 air density '[kW']
SG 5.0-145 (AM+1, 5.2MW) AT 
90M],MATCH(TBL_CalcDarwin[[#This Row],[Darwin Temp.
°C]],Curva_Temp[Temp]))</f>
        <v>5200</v>
      </c>
      <c r="S198" s="41" cm="1">
        <f t="array" ref="S198">INDEX(Curva_Temp[Temp],MATCH(TBL_CalcDarwin[[#This Row],[Darwin Temp.
°C]],Curva_Temp[Temp])+1)</f>
        <v>15</v>
      </c>
      <c r="T198" s="41" cm="1">
        <f t="array" ref="T198">INDEX(Curva_Temp[Warranted Power Curve for 
1.194Kg/m3 air density '[kW']
SG 5.0-145 (AM+1, 5.2MW) AT 
90M],MATCH(TBL_CalcDarwin[[#This Row],[Darwin Temp.
°C]],Curva_Temp[Temp])+1)</f>
        <v>5200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98" s="41">
        <f>INDEX(Curva_Temp[Temp],MATCH(TBL_CalcDarwin[[#This Row],[Darwin Temp.
°C]],Curva_Temp[Temp]))</f>
        <v>10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15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5000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98" s="29">
        <f>TBL_CalcDarwin[[#This Row],[Expansión - Barra B - 5.2 - Cerro]]*TBL_CalcDarwin[[#This Row],[AEG 5.2 MW Cerro]]</f>
        <v>1.978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45452.208333332863</v>
      </c>
      <c r="C199" s="17">
        <f t="shared" si="20"/>
        <v>8.2083333333333517</v>
      </c>
      <c r="D199" s="34">
        <f>TBL_CalcDarwin[[#This Row],[Darwin PLOM
MW]]+TBL_CalcDarwin[[#This Row],[Darwin PLOME
MW]]</f>
        <v>132.655</v>
      </c>
      <c r="E199" s="34">
        <f>TBL_CalcDarwin[[#This Row],[PLOM MW TOTAL BARRA A]]+TBL_CalcDarwin[[#This Row],[PLOM MW TOTAL BARRA B]]</f>
        <v>128.14500000000001</v>
      </c>
      <c r="F199" s="34">
        <f>TBL_CalcDarwin[[#This Row],[PLOME MW TOTAL BARRA A]]+TBL_CalcDarwin[[#This Row],[PLOME MW TOTAL BARRA B]]</f>
        <v>4.51</v>
      </c>
      <c r="G199" s="48">
        <f>'Plantilla Datos'!D204</f>
        <v>7</v>
      </c>
      <c r="H199" s="48">
        <f>'Plantilla Datos'!E204</f>
        <v>8.8000000000000007</v>
      </c>
      <c r="I199" s="49">
        <f>'Plantilla Datos'!F204</f>
        <v>14.7</v>
      </c>
      <c r="J199" s="47">
        <f>CEILING('Plantilla Datos'!$L$3*TBL_CalcDarwin[[#This Row],[Darwin Gusts
m/s]],0.5)</f>
        <v>6.5</v>
      </c>
      <c r="K199" s="47">
        <f>CEILING('Plantilla Datos'!$L$4*TBL_CalcDarwin[[#This Row],[Darwin Gusts
m/s]],0.5)</f>
        <v>7.5</v>
      </c>
      <c r="L199" s="47">
        <f>CEILING(TBL_CalcDarwin[[#This Row],[Darwin Gusts
m/s]],0.5)</f>
        <v>9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99" s="41">
        <f>INDEX(Curva_Temp[Temp],MATCH(TBL_CalcDarwin[[#This Row],[Darwin Temp.
°C]],Curva_Temp[Temp]))</f>
        <v>10</v>
      </c>
      <c r="R199" s="41">
        <f>INDEX(Curva_Temp[Warranted Power Curve for 
1.194Kg/m3 air density '[kW']
SG 5.0-145 (AM+1, 5.2MW) AT 
90M],MATCH(TBL_CalcDarwin[[#This Row],[Darwin Temp.
°C]],Curva_Temp[Temp]))</f>
        <v>5200</v>
      </c>
      <c r="S199" s="41" cm="1">
        <f t="array" ref="S199">INDEX(Curva_Temp[Temp],MATCH(TBL_CalcDarwin[[#This Row],[Darwin Temp.
°C]],Curva_Temp[Temp])+1)</f>
        <v>15</v>
      </c>
      <c r="T199" s="41" cm="1">
        <f t="array" ref="T199">INDEX(Curva_Temp[Warranted Power Curve for 
1.194Kg/m3 air density '[kW']
SG 5.0-145 (AM+1, 5.2MW) AT 
90M],MATCH(TBL_CalcDarwin[[#This Row],[Darwin Temp.
°C]],Curva_Temp[Temp])+1)</f>
        <v>5200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99" s="41">
        <f>INDEX(Curva_Temp[Temp],MATCH(TBL_CalcDarwin[[#This Row],[Darwin Temp.
°C]],Curva_Temp[Temp]))</f>
        <v>10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15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5000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99" s="29">
        <f>TBL_CalcDarwin[[#This Row],[Expansión - Barra B - 5.2 - Cerro]]*TBL_CalcDarwin[[#This Row],[AEG 5.2 MW Cerro]]</f>
        <v>1.266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45452.249999999527</v>
      </c>
      <c r="C200" s="17">
        <f t="shared" si="20"/>
        <v>8.2500000000000178</v>
      </c>
      <c r="D200" s="34">
        <f>TBL_CalcDarwin[[#This Row],[Darwin PLOM
MW]]+TBL_CalcDarwin[[#This Row],[Darwin PLOME
MW]]</f>
        <v>97.623000000000005</v>
      </c>
      <c r="E200" s="34">
        <f>TBL_CalcDarwin[[#This Row],[PLOM MW TOTAL BARRA A]]+TBL_CalcDarwin[[#This Row],[PLOM MW TOTAL BARRA B]]</f>
        <v>94.06</v>
      </c>
      <c r="F200" s="34">
        <f>TBL_CalcDarwin[[#This Row],[PLOME MW TOTAL BARRA A]]+TBL_CalcDarwin[[#This Row],[PLOME MW TOTAL BARRA B]]</f>
        <v>3.5630000000000002</v>
      </c>
      <c r="G200" s="48">
        <f>'Plantilla Datos'!D205</f>
        <v>6.1</v>
      </c>
      <c r="H200" s="48">
        <f>'Plantilla Datos'!E205</f>
        <v>7.7</v>
      </c>
      <c r="I200" s="49">
        <f>'Plantilla Datos'!F205</f>
        <v>14.8</v>
      </c>
      <c r="J200" s="47">
        <f>CEILING('Plantilla Datos'!$L$3*TBL_CalcDarwin[[#This Row],[Darwin Gusts
m/s]],0.5)</f>
        <v>6</v>
      </c>
      <c r="K200" s="47">
        <f>CEILING('Plantilla Datos'!$L$4*TBL_CalcDarwin[[#This Row],[Darwin Gusts
m/s]],0.5)</f>
        <v>7</v>
      </c>
      <c r="L200" s="47">
        <f>CEILING(TBL_CalcDarwin[[#This Row],[Darwin Gusts
m/s]],0.5)</f>
        <v>8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00" s="41">
        <f>INDEX(Curva_Temp[Temp],MATCH(TBL_CalcDarwin[[#This Row],[Darwin Temp.
°C]],Curva_Temp[Temp]))</f>
        <v>10</v>
      </c>
      <c r="R200" s="41">
        <f>INDEX(Curva_Temp[Warranted Power Curve for 
1.194Kg/m3 air density '[kW']
SG 5.0-145 (AM+1, 5.2MW) AT 
90M],MATCH(TBL_CalcDarwin[[#This Row],[Darwin Temp.
°C]],Curva_Temp[Temp]))</f>
        <v>5200</v>
      </c>
      <c r="S200" s="41" cm="1">
        <f t="array" ref="S200">INDEX(Curva_Temp[Temp],MATCH(TBL_CalcDarwin[[#This Row],[Darwin Temp.
°C]],Curva_Temp[Temp])+1)</f>
        <v>15</v>
      </c>
      <c r="T200" s="41" cm="1">
        <f t="array" ref="T200">INDEX(Curva_Temp[Warranted Power Curve for 
1.194Kg/m3 air density '[kW']
SG 5.0-145 (AM+1, 5.2MW) AT 
90M],MATCH(TBL_CalcDarwin[[#This Row],[Darwin Temp.
°C]],Curva_Temp[Temp])+1)</f>
        <v>5200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00" s="41">
        <f>INDEX(Curva_Temp[Temp],MATCH(TBL_CalcDarwin[[#This Row],[Darwin Temp.
°C]],Curva_Temp[Temp]))</f>
        <v>10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15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5000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00" s="29">
        <f>TBL_CalcDarwin[[#This Row],[Expansión - Barra B - 5.2 - Cerro]]*TBL_CalcDarwin[[#This Row],[AEG 5.2 MW Cerro]]</f>
        <v>0.98299999999999998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45452.291666666191</v>
      </c>
      <c r="C201" s="17">
        <f t="shared" si="20"/>
        <v>8.2916666666666838</v>
      </c>
      <c r="D201" s="34">
        <f>TBL_CalcDarwin[[#This Row],[Darwin PLOM
MW]]+TBL_CalcDarwin[[#This Row],[Darwin PLOME
MW]]</f>
        <v>63.076999999999998</v>
      </c>
      <c r="E201" s="34">
        <f>TBL_CalcDarwin[[#This Row],[PLOM MW TOTAL BARRA A]]+TBL_CalcDarwin[[#This Row],[PLOM MW TOTAL BARRA B]]</f>
        <v>61</v>
      </c>
      <c r="F201" s="34">
        <f>TBL_CalcDarwin[[#This Row],[PLOME MW TOTAL BARRA A]]+TBL_CalcDarwin[[#This Row],[PLOME MW TOTAL BARRA B]]</f>
        <v>2.077</v>
      </c>
      <c r="G201" s="48">
        <f>'Plantilla Datos'!D206</f>
        <v>5.2</v>
      </c>
      <c r="H201" s="48">
        <f>'Plantilla Datos'!E206</f>
        <v>6.6</v>
      </c>
      <c r="I201" s="49">
        <f>'Plantilla Datos'!F206</f>
        <v>15.1</v>
      </c>
      <c r="J201" s="47">
        <f>CEILING('Plantilla Datos'!$L$3*TBL_CalcDarwin[[#This Row],[Darwin Gusts
m/s]],0.5)</f>
        <v>5</v>
      </c>
      <c r="K201" s="47">
        <f>CEILING('Plantilla Datos'!$L$4*TBL_CalcDarwin[[#This Row],[Darwin Gusts
m/s]],0.5)</f>
        <v>6</v>
      </c>
      <c r="L201" s="47">
        <f>CEILING(TBL_CalcDarwin[[#This Row],[Darwin Gusts
m/s]],0.5)</f>
        <v>7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01" s="41">
        <f>INDEX(Curva_Temp[Temp],MATCH(TBL_CalcDarwin[[#This Row],[Darwin Temp.
°C]],Curva_Temp[Temp]))</f>
        <v>15</v>
      </c>
      <c r="R201" s="41">
        <f>INDEX(Curva_Temp[Warranted Power Curve for 
1.194Kg/m3 air density '[kW']
SG 5.0-145 (AM+1, 5.2MW) AT 
90M],MATCH(TBL_CalcDarwin[[#This Row],[Darwin Temp.
°C]],Curva_Temp[Temp]))</f>
        <v>5200</v>
      </c>
      <c r="S201" s="41" cm="1">
        <f t="array" ref="S201">INDEX(Curva_Temp[Temp],MATCH(TBL_CalcDarwin[[#This Row],[Darwin Temp.
°C]],Curva_Temp[Temp])+1)</f>
        <v>20</v>
      </c>
      <c r="T201" s="41" cm="1">
        <f t="array" ref="T201">INDEX(Curva_Temp[Warranted Power Curve for 
1.194Kg/m3 air density '[kW']
SG 5.0-145 (AM+1, 5.2MW) AT 
90M],MATCH(TBL_CalcDarwin[[#This Row],[Darwin Temp.
°C]],Curva_Temp[Temp])+1)</f>
        <v>5000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01" s="41">
        <f>INDEX(Curva_Temp[Temp],MATCH(TBL_CalcDarwin[[#This Row],[Darwin Temp.
°C]],Curva_Temp[Temp]))</f>
        <v>15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20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5000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201" s="29">
        <f>TBL_CalcDarwin[[#This Row],[Expansión - Barra B - 5.2 - Cerro]]*TBL_CalcDarwin[[#This Row],[AEG 5.2 MW Cerro]]</f>
        <v>0.54700000000000004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45452.333333332856</v>
      </c>
      <c r="C202" s="17">
        <f t="shared" si="20"/>
        <v>8.3333333333333499</v>
      </c>
      <c r="D202" s="34">
        <f>TBL_CalcDarwin[[#This Row],[Darwin PLOM
MW]]+TBL_CalcDarwin[[#This Row],[Darwin PLOME
MW]]</f>
        <v>79.186999999999998</v>
      </c>
      <c r="E202" s="34">
        <f>TBL_CalcDarwin[[#This Row],[PLOM MW TOTAL BARRA A]]+TBL_CalcDarwin[[#This Row],[PLOM MW TOTAL BARRA B]]</f>
        <v>76.430999999999997</v>
      </c>
      <c r="F202" s="34">
        <f>TBL_CalcDarwin[[#This Row],[PLOME MW TOTAL BARRA A]]+TBL_CalcDarwin[[#This Row],[PLOME MW TOTAL BARRA B]]</f>
        <v>2.7560000000000002</v>
      </c>
      <c r="G202" s="48">
        <f>'Plantilla Datos'!D207</f>
        <v>5.6</v>
      </c>
      <c r="H202" s="48">
        <f>'Plantilla Datos'!E207</f>
        <v>7.2</v>
      </c>
      <c r="I202" s="49">
        <f>'Plantilla Datos'!F207</f>
        <v>15.5</v>
      </c>
      <c r="J202" s="47">
        <f>CEILING('Plantilla Datos'!$L$3*TBL_CalcDarwin[[#This Row],[Darwin Gusts
m/s]],0.5)</f>
        <v>5.5</v>
      </c>
      <c r="K202" s="47">
        <f>CEILING('Plantilla Datos'!$L$4*TBL_CalcDarwin[[#This Row],[Darwin Gusts
m/s]],0.5)</f>
        <v>6.5</v>
      </c>
      <c r="L202" s="47">
        <f>CEILING(TBL_CalcDarwin[[#This Row],[Darwin Gusts
m/s]],0.5)</f>
        <v>7.5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02" s="41">
        <f>INDEX(Curva_Temp[Temp],MATCH(TBL_CalcDarwin[[#This Row],[Darwin Temp.
°C]],Curva_Temp[Temp]))</f>
        <v>15</v>
      </c>
      <c r="R202" s="41">
        <f>INDEX(Curva_Temp[Warranted Power Curve for 
1.194Kg/m3 air density '[kW']
SG 5.0-145 (AM+1, 5.2MW) AT 
90M],MATCH(TBL_CalcDarwin[[#This Row],[Darwin Temp.
°C]],Curva_Temp[Temp]))</f>
        <v>5200</v>
      </c>
      <c r="S202" s="41" cm="1">
        <f t="array" ref="S202">INDEX(Curva_Temp[Temp],MATCH(TBL_CalcDarwin[[#This Row],[Darwin Temp.
°C]],Curva_Temp[Temp])+1)</f>
        <v>20</v>
      </c>
      <c r="T202" s="41" cm="1">
        <f t="array" ref="T202">INDEX(Curva_Temp[Warranted Power Curve for 
1.194Kg/m3 air density '[kW']
SG 5.0-145 (AM+1, 5.2MW) AT 
90M],MATCH(TBL_CalcDarwin[[#This Row],[Darwin Temp.
°C]],Curva_Temp[Temp])+1)</f>
        <v>5000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02" s="41">
        <f>INDEX(Curva_Temp[Temp],MATCH(TBL_CalcDarwin[[#This Row],[Darwin Temp.
°C]],Curva_Temp[Temp]))</f>
        <v>15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20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5000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202" s="29">
        <f>TBL_CalcDarwin[[#This Row],[Expansión - Barra B - 5.2 - Cerro]]*TBL_CalcDarwin[[#This Row],[AEG 5.2 MW Cerro]]</f>
        <v>0.745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45452.37499999952</v>
      </c>
      <c r="C203" s="17">
        <f t="shared" si="20"/>
        <v>8.375000000000016</v>
      </c>
      <c r="D203" s="34">
        <f>TBL_CalcDarwin[[#This Row],[Darwin PLOM
MW]]+TBL_CalcDarwin[[#This Row],[Darwin PLOME
MW]]</f>
        <v>97.623000000000005</v>
      </c>
      <c r="E203" s="34">
        <f>TBL_CalcDarwin[[#This Row],[PLOM MW TOTAL BARRA A]]+TBL_CalcDarwin[[#This Row],[PLOM MW TOTAL BARRA B]]</f>
        <v>94.06</v>
      </c>
      <c r="F203" s="34">
        <f>TBL_CalcDarwin[[#This Row],[PLOME MW TOTAL BARRA A]]+TBL_CalcDarwin[[#This Row],[PLOME MW TOTAL BARRA B]]</f>
        <v>3.5630000000000002</v>
      </c>
      <c r="G203" s="48">
        <f>'Plantilla Datos'!D208</f>
        <v>6.1</v>
      </c>
      <c r="H203" s="48">
        <f>'Plantilla Datos'!E208</f>
        <v>7.7</v>
      </c>
      <c r="I203" s="49">
        <f>'Plantilla Datos'!F208</f>
        <v>16</v>
      </c>
      <c r="J203" s="47">
        <f>CEILING('Plantilla Datos'!$L$3*TBL_CalcDarwin[[#This Row],[Darwin Gusts
m/s]],0.5)</f>
        <v>6</v>
      </c>
      <c r="K203" s="47">
        <f>CEILING('Plantilla Datos'!$L$4*TBL_CalcDarwin[[#This Row],[Darwin Gusts
m/s]],0.5)</f>
        <v>7</v>
      </c>
      <c r="L203" s="47">
        <f>CEILING(TBL_CalcDarwin[[#This Row],[Darwin Gusts
m/s]],0.5)</f>
        <v>8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03" s="41">
        <f>INDEX(Curva_Temp[Temp],MATCH(TBL_CalcDarwin[[#This Row],[Darwin Temp.
°C]],Curva_Temp[Temp]))</f>
        <v>15</v>
      </c>
      <c r="R203" s="41">
        <f>INDEX(Curva_Temp[Warranted Power Curve for 
1.194Kg/m3 air density '[kW']
SG 5.0-145 (AM+1, 5.2MW) AT 
90M],MATCH(TBL_CalcDarwin[[#This Row],[Darwin Temp.
°C]],Curva_Temp[Temp]))</f>
        <v>5200</v>
      </c>
      <c r="S203" s="41" cm="1">
        <f t="array" ref="S203">INDEX(Curva_Temp[Temp],MATCH(TBL_CalcDarwin[[#This Row],[Darwin Temp.
°C]],Curva_Temp[Temp])+1)</f>
        <v>20</v>
      </c>
      <c r="T203" s="41" cm="1">
        <f t="array" ref="T203">INDEX(Curva_Temp[Warranted Power Curve for 
1.194Kg/m3 air density '[kW']
SG 5.0-145 (AM+1, 5.2MW) AT 
90M],MATCH(TBL_CalcDarwin[[#This Row],[Darwin Temp.
°C]],Curva_Temp[Temp])+1)</f>
        <v>5000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03" s="41">
        <f>INDEX(Curva_Temp[Temp],MATCH(TBL_CalcDarwin[[#This Row],[Darwin Temp.
°C]],Curva_Temp[Temp]))</f>
        <v>15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20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5000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03" s="29">
        <f>TBL_CalcDarwin[[#This Row],[Expansión - Barra B - 5.2 - Cerro]]*TBL_CalcDarwin[[#This Row],[AEG 5.2 MW Cerro]]</f>
        <v>0.98299999999999998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45452.416666666184</v>
      </c>
      <c r="C204" s="17">
        <f t="shared" si="20"/>
        <v>8.4166666666666821</v>
      </c>
      <c r="D204" s="34">
        <f>TBL_CalcDarwin[[#This Row],[Darwin PLOM
MW]]+TBL_CalcDarwin[[#This Row],[Darwin PLOME
MW]]</f>
        <v>115.82799999999999</v>
      </c>
      <c r="E204" s="34">
        <f>TBL_CalcDarwin[[#This Row],[PLOM MW TOTAL BARRA A]]+TBL_CalcDarwin[[#This Row],[PLOM MW TOTAL BARRA B]]</f>
        <v>111.88399999999999</v>
      </c>
      <c r="F204" s="34">
        <f>TBL_CalcDarwin[[#This Row],[PLOME MW TOTAL BARRA A]]+TBL_CalcDarwin[[#This Row],[PLOME MW TOTAL BARRA B]]</f>
        <v>3.944</v>
      </c>
      <c r="G204" s="48">
        <f>'Plantilla Datos'!D209</f>
        <v>6.5</v>
      </c>
      <c r="H204" s="48">
        <f>'Plantilla Datos'!E209</f>
        <v>8.3000000000000007</v>
      </c>
      <c r="I204" s="49">
        <f>'Plantilla Datos'!F209</f>
        <v>16.5</v>
      </c>
      <c r="J204" s="47">
        <f>CEILING('Plantilla Datos'!$L$3*TBL_CalcDarwin[[#This Row],[Darwin Gusts
m/s]],0.5)</f>
        <v>6</v>
      </c>
      <c r="K204" s="47">
        <f>CEILING('Plantilla Datos'!$L$4*TBL_CalcDarwin[[#This Row],[Darwin Gusts
m/s]],0.5)</f>
        <v>7.5</v>
      </c>
      <c r="L204" s="47">
        <f>CEILING(TBL_CalcDarwin[[#This Row],[Darwin Gusts
m/s]],0.5)</f>
        <v>8.5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04" s="41">
        <f>INDEX(Curva_Temp[Temp],MATCH(TBL_CalcDarwin[[#This Row],[Darwin Temp.
°C]],Curva_Temp[Temp]))</f>
        <v>15</v>
      </c>
      <c r="R204" s="41">
        <f>INDEX(Curva_Temp[Warranted Power Curve for 
1.194Kg/m3 air density '[kW']
SG 5.0-145 (AM+1, 5.2MW) AT 
90M],MATCH(TBL_CalcDarwin[[#This Row],[Darwin Temp.
°C]],Curva_Temp[Temp]))</f>
        <v>5200</v>
      </c>
      <c r="S204" s="41" cm="1">
        <f t="array" ref="S204">INDEX(Curva_Temp[Temp],MATCH(TBL_CalcDarwin[[#This Row],[Darwin Temp.
°C]],Curva_Temp[Temp])+1)</f>
        <v>20</v>
      </c>
      <c r="T204" s="41" cm="1">
        <f t="array" ref="T204">INDEX(Curva_Temp[Warranted Power Curve for 
1.194Kg/m3 air density '[kW']
SG 5.0-145 (AM+1, 5.2MW) AT 
90M],MATCH(TBL_CalcDarwin[[#This Row],[Darwin Temp.
°C]],Curva_Temp[Temp])+1)</f>
        <v>5000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04" s="41">
        <f>INDEX(Curva_Temp[Temp],MATCH(TBL_CalcDarwin[[#This Row],[Darwin Temp.
°C]],Curva_Temp[Temp]))</f>
        <v>15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20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5000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204" s="29">
        <f>TBL_CalcDarwin[[#This Row],[Expansión - Barra B - 5.2 - Cerro]]*TBL_CalcDarwin[[#This Row],[AEG 5.2 MW Cerro]]</f>
        <v>0.98299999999999998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45452.458333332848</v>
      </c>
      <c r="C205" s="17">
        <f t="shared" si="20"/>
        <v>8.4583333333333481</v>
      </c>
      <c r="D205" s="34">
        <f>TBL_CalcDarwin[[#This Row],[Darwin PLOM
MW]]+TBL_CalcDarwin[[#This Row],[Darwin PLOME
MW]]</f>
        <v>137.999</v>
      </c>
      <c r="E205" s="34">
        <f>TBL_CalcDarwin[[#This Row],[PLOM MW TOTAL BARRA A]]+TBL_CalcDarwin[[#This Row],[PLOM MW TOTAL BARRA B]]</f>
        <v>133.489</v>
      </c>
      <c r="F205" s="34">
        <f>TBL_CalcDarwin[[#This Row],[PLOME MW TOTAL BARRA A]]+TBL_CalcDarwin[[#This Row],[PLOME MW TOTAL BARRA B]]</f>
        <v>4.51</v>
      </c>
      <c r="G205" s="48">
        <f>'Plantilla Datos'!D210</f>
        <v>7</v>
      </c>
      <c r="H205" s="48">
        <f>'Plantilla Datos'!E210</f>
        <v>8.8000000000000007</v>
      </c>
      <c r="I205" s="49">
        <f>'Plantilla Datos'!F210</f>
        <v>16.899999999999999</v>
      </c>
      <c r="J205" s="47">
        <f>CEILING('Plantilla Datos'!$L$3*TBL_CalcDarwin[[#This Row],[Darwin Gusts
m/s]],0.5)</f>
        <v>6.5</v>
      </c>
      <c r="K205" s="47">
        <f>CEILING('Plantilla Datos'!$L$4*TBL_CalcDarwin[[#This Row],[Darwin Gusts
m/s]],0.5)</f>
        <v>7.5</v>
      </c>
      <c r="L205" s="47">
        <f>CEILING(TBL_CalcDarwin[[#This Row],[Darwin Gusts
m/s]],0.5)</f>
        <v>9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05" s="41">
        <f>INDEX(Curva_Temp[Temp],MATCH(TBL_CalcDarwin[[#This Row],[Darwin Temp.
°C]],Curva_Temp[Temp]))</f>
        <v>15</v>
      </c>
      <c r="R205" s="41">
        <f>INDEX(Curva_Temp[Warranted Power Curve for 
1.194Kg/m3 air density '[kW']
SG 5.0-145 (AM+1, 5.2MW) AT 
90M],MATCH(TBL_CalcDarwin[[#This Row],[Darwin Temp.
°C]],Curva_Temp[Temp]))</f>
        <v>5200</v>
      </c>
      <c r="S205" s="41" cm="1">
        <f t="array" ref="S205">INDEX(Curva_Temp[Temp],MATCH(TBL_CalcDarwin[[#This Row],[Darwin Temp.
°C]],Curva_Temp[Temp])+1)</f>
        <v>20</v>
      </c>
      <c r="T205" s="41" cm="1">
        <f t="array" ref="T205">INDEX(Curva_Temp[Warranted Power Curve for 
1.194Kg/m3 air density '[kW']
SG 5.0-145 (AM+1, 5.2MW) AT 
90M],MATCH(TBL_CalcDarwin[[#This Row],[Darwin Temp.
°C]],Curva_Temp[Temp])+1)</f>
        <v>5000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05" s="41">
        <f>INDEX(Curva_Temp[Temp],MATCH(TBL_CalcDarwin[[#This Row],[Darwin Temp.
°C]],Curva_Temp[Temp]))</f>
        <v>15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20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5000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205" s="29">
        <f>TBL_CalcDarwin[[#This Row],[Expansión - Barra B - 5.2 - Cerro]]*TBL_CalcDarwin[[#This Row],[AEG 5.2 MW Cerro]]</f>
        <v>1.266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45452.499999999513</v>
      </c>
      <c r="C206" s="17">
        <f t="shared" si="20"/>
        <v>8.5000000000000142</v>
      </c>
      <c r="D206" s="34">
        <f>TBL_CalcDarwin[[#This Row],[Darwin PLOM
MW]]+TBL_CalcDarwin[[#This Row],[Darwin PLOME
MW]]</f>
        <v>166.10399999999998</v>
      </c>
      <c r="E206" s="34">
        <f>TBL_CalcDarwin[[#This Row],[PLOM MW TOTAL BARRA A]]+TBL_CalcDarwin[[#This Row],[PLOM MW TOTAL BARRA B]]</f>
        <v>160.03199999999998</v>
      </c>
      <c r="F206" s="34">
        <f>TBL_CalcDarwin[[#This Row],[PLOME MW TOTAL BARRA A]]+TBL_CalcDarwin[[#This Row],[PLOME MW TOTAL BARRA B]]</f>
        <v>6.0719999999999992</v>
      </c>
      <c r="G206" s="48">
        <f>'Plantilla Datos'!D211</f>
        <v>7.5</v>
      </c>
      <c r="H206" s="48">
        <f>'Plantilla Datos'!E211</f>
        <v>9.4</v>
      </c>
      <c r="I206" s="49">
        <f>'Plantilla Datos'!F211</f>
        <v>17.399999999999999</v>
      </c>
      <c r="J206" s="47">
        <f>CEILING('Plantilla Datos'!$L$3*TBL_CalcDarwin[[#This Row],[Darwin Gusts
m/s]],0.5)</f>
        <v>7</v>
      </c>
      <c r="K206" s="47">
        <f>CEILING('Plantilla Datos'!$L$4*TBL_CalcDarwin[[#This Row],[Darwin Gusts
m/s]],0.5)</f>
        <v>8.5</v>
      </c>
      <c r="L206" s="47">
        <f>CEILING(TBL_CalcDarwin[[#This Row],[Darwin Gusts
m/s]],0.5)</f>
        <v>9.5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06" s="41">
        <f>INDEX(Curva_Temp[Temp],MATCH(TBL_CalcDarwin[[#This Row],[Darwin Temp.
°C]],Curva_Temp[Temp]))</f>
        <v>15</v>
      </c>
      <c r="R206" s="41">
        <f>INDEX(Curva_Temp[Warranted Power Curve for 
1.194Kg/m3 air density '[kW']
SG 5.0-145 (AM+1, 5.2MW) AT 
90M],MATCH(TBL_CalcDarwin[[#This Row],[Darwin Temp.
°C]],Curva_Temp[Temp]))</f>
        <v>5200</v>
      </c>
      <c r="S206" s="41" cm="1">
        <f t="array" ref="S206">INDEX(Curva_Temp[Temp],MATCH(TBL_CalcDarwin[[#This Row],[Darwin Temp.
°C]],Curva_Temp[Temp])+1)</f>
        <v>20</v>
      </c>
      <c r="T206" s="41" cm="1">
        <f t="array" ref="T206">INDEX(Curva_Temp[Warranted Power Curve for 
1.194Kg/m3 air density '[kW']
SG 5.0-145 (AM+1, 5.2MW) AT 
90M],MATCH(TBL_CalcDarwin[[#This Row],[Darwin Temp.
°C]],Curva_Temp[Temp])+1)</f>
        <v>5000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06" s="41">
        <f>INDEX(Curva_Temp[Temp],MATCH(TBL_CalcDarwin[[#This Row],[Darwin Temp.
°C]],Curva_Temp[Temp]))</f>
        <v>15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20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5000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206" s="29">
        <f>TBL_CalcDarwin[[#This Row],[Expansión - Barra B - 5.2 - Cerro]]*TBL_CalcDarwin[[#This Row],[AEG 5.2 MW Cerro]]</f>
        <v>1.597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45452.541666666177</v>
      </c>
      <c r="C207" s="17">
        <f t="shared" si="20"/>
        <v>8.5416666666666803</v>
      </c>
      <c r="D207" s="34">
        <f>TBL_CalcDarwin[[#This Row],[Darwin PLOM
MW]]+TBL_CalcDarwin[[#This Row],[Darwin PLOME
MW]]</f>
        <v>182.655</v>
      </c>
      <c r="E207" s="34">
        <f>TBL_CalcDarwin[[#This Row],[PLOM MW TOTAL BARRA A]]+TBL_CalcDarwin[[#This Row],[PLOM MW TOTAL BARRA B]]</f>
        <v>175.821</v>
      </c>
      <c r="F207" s="34">
        <f>TBL_CalcDarwin[[#This Row],[PLOME MW TOTAL BARRA A]]+TBL_CalcDarwin[[#This Row],[PLOME MW TOTAL BARRA B]]</f>
        <v>6.8339999999999996</v>
      </c>
      <c r="G207" s="48">
        <f>'Plantilla Datos'!D212</f>
        <v>7.9</v>
      </c>
      <c r="H207" s="48">
        <f>'Plantilla Datos'!E212</f>
        <v>9.9</v>
      </c>
      <c r="I207" s="49">
        <f>'Plantilla Datos'!F212</f>
        <v>17.8</v>
      </c>
      <c r="J207" s="47">
        <f>CEILING('Plantilla Datos'!$L$3*TBL_CalcDarwin[[#This Row],[Darwin Gusts
m/s]],0.5)</f>
        <v>7.5</v>
      </c>
      <c r="K207" s="47">
        <f>CEILING('Plantilla Datos'!$L$4*TBL_CalcDarwin[[#This Row],[Darwin Gusts
m/s]],0.5)</f>
        <v>8.5</v>
      </c>
      <c r="L207" s="47">
        <f>CEILING(TBL_CalcDarwin[[#This Row],[Darwin Gusts
m/s]],0.5)</f>
        <v>10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07" s="41">
        <f>INDEX(Curva_Temp[Temp],MATCH(TBL_CalcDarwin[[#This Row],[Darwin Temp.
°C]],Curva_Temp[Temp]))</f>
        <v>15</v>
      </c>
      <c r="R207" s="41">
        <f>INDEX(Curva_Temp[Warranted Power Curve for 
1.194Kg/m3 air density '[kW']
SG 5.0-145 (AM+1, 5.2MW) AT 
90M],MATCH(TBL_CalcDarwin[[#This Row],[Darwin Temp.
°C]],Curva_Temp[Temp]))</f>
        <v>5200</v>
      </c>
      <c r="S207" s="41" cm="1">
        <f t="array" ref="S207">INDEX(Curva_Temp[Temp],MATCH(TBL_CalcDarwin[[#This Row],[Darwin Temp.
°C]],Curva_Temp[Temp])+1)</f>
        <v>20</v>
      </c>
      <c r="T207" s="41" cm="1">
        <f t="array" ref="T207">INDEX(Curva_Temp[Warranted Power Curve for 
1.194Kg/m3 air density '[kW']
SG 5.0-145 (AM+1, 5.2MW) AT 
90M],MATCH(TBL_CalcDarwin[[#This Row],[Darwin Temp.
°C]],Curva_Temp[Temp])+1)</f>
        <v>5000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07" s="41">
        <f>INDEX(Curva_Temp[Temp],MATCH(TBL_CalcDarwin[[#This Row],[Darwin Temp.
°C]],Curva_Temp[Temp]))</f>
        <v>15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20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5000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207" s="29">
        <f>TBL_CalcDarwin[[#This Row],[Expansión - Barra B - 5.2 - Cerro]]*TBL_CalcDarwin[[#This Row],[AEG 5.2 MW Cerro]]</f>
        <v>1.978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45452.583333332841</v>
      </c>
      <c r="C208" s="17">
        <f t="shared" si="20"/>
        <v>8.5833333333333464</v>
      </c>
      <c r="D208" s="34">
        <f>TBL_CalcDarwin[[#This Row],[Darwin PLOM
MW]]+TBL_CalcDarwin[[#This Row],[Darwin PLOME
MW]]</f>
        <v>182.655</v>
      </c>
      <c r="E208" s="34">
        <f>TBL_CalcDarwin[[#This Row],[PLOM MW TOTAL BARRA A]]+TBL_CalcDarwin[[#This Row],[PLOM MW TOTAL BARRA B]]</f>
        <v>175.821</v>
      </c>
      <c r="F208" s="34">
        <f>TBL_CalcDarwin[[#This Row],[PLOME MW TOTAL BARRA A]]+TBL_CalcDarwin[[#This Row],[PLOME MW TOTAL BARRA B]]</f>
        <v>6.8339999999999996</v>
      </c>
      <c r="G208" s="48">
        <f>'Plantilla Datos'!D213</f>
        <v>7.8</v>
      </c>
      <c r="H208" s="48">
        <f>'Plantilla Datos'!E213</f>
        <v>9.8000000000000007</v>
      </c>
      <c r="I208" s="49">
        <f>'Plantilla Datos'!F213</f>
        <v>17.8</v>
      </c>
      <c r="J208" s="47">
        <f>CEILING('Plantilla Datos'!$L$3*TBL_CalcDarwin[[#This Row],[Darwin Gusts
m/s]],0.5)</f>
        <v>7.5</v>
      </c>
      <c r="K208" s="47">
        <f>CEILING('Plantilla Datos'!$L$4*TBL_CalcDarwin[[#This Row],[Darwin Gusts
m/s]],0.5)</f>
        <v>8.5</v>
      </c>
      <c r="L208" s="47">
        <f>CEILING(TBL_CalcDarwin[[#This Row],[Darwin Gusts
m/s]],0.5)</f>
        <v>10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08" s="41">
        <f>INDEX(Curva_Temp[Temp],MATCH(TBL_CalcDarwin[[#This Row],[Darwin Temp.
°C]],Curva_Temp[Temp]))</f>
        <v>15</v>
      </c>
      <c r="R208" s="41">
        <f>INDEX(Curva_Temp[Warranted Power Curve for 
1.194Kg/m3 air density '[kW']
SG 5.0-145 (AM+1, 5.2MW) AT 
90M],MATCH(TBL_CalcDarwin[[#This Row],[Darwin Temp.
°C]],Curva_Temp[Temp]))</f>
        <v>5200</v>
      </c>
      <c r="S208" s="41" cm="1">
        <f t="array" ref="S208">INDEX(Curva_Temp[Temp],MATCH(TBL_CalcDarwin[[#This Row],[Darwin Temp.
°C]],Curva_Temp[Temp])+1)</f>
        <v>20</v>
      </c>
      <c r="T208" s="41" cm="1">
        <f t="array" ref="T208">INDEX(Curva_Temp[Warranted Power Curve for 
1.194Kg/m3 air density '[kW']
SG 5.0-145 (AM+1, 5.2MW) AT 
90M],MATCH(TBL_CalcDarwin[[#This Row],[Darwin Temp.
°C]],Curva_Temp[Temp])+1)</f>
        <v>5000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08" s="41">
        <f>INDEX(Curva_Temp[Temp],MATCH(TBL_CalcDarwin[[#This Row],[Darwin Temp.
°C]],Curva_Temp[Temp]))</f>
        <v>15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20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5000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208" s="29">
        <f>TBL_CalcDarwin[[#This Row],[Expansión - Barra B - 5.2 - Cerro]]*TBL_CalcDarwin[[#This Row],[AEG 5.2 MW Cerro]]</f>
        <v>1.978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45452.624999999505</v>
      </c>
      <c r="C209" s="17">
        <f t="shared" si="20"/>
        <v>8.6250000000000124</v>
      </c>
      <c r="D209" s="34">
        <f>TBL_CalcDarwin[[#This Row],[Darwin PLOM
MW]]+TBL_CalcDarwin[[#This Row],[Darwin PLOME
MW]]</f>
        <v>179.61</v>
      </c>
      <c r="E209" s="34">
        <f>TBL_CalcDarwin[[#This Row],[PLOM MW TOTAL BARRA A]]+TBL_CalcDarwin[[#This Row],[PLOM MW TOTAL BARRA B]]</f>
        <v>173.53800000000001</v>
      </c>
      <c r="F209" s="34">
        <f>TBL_CalcDarwin[[#This Row],[PLOME MW TOTAL BARRA A]]+TBL_CalcDarwin[[#This Row],[PLOME MW TOTAL BARRA B]]</f>
        <v>6.0719999999999992</v>
      </c>
      <c r="G209" s="48">
        <f>'Plantilla Datos'!D214</f>
        <v>7.8</v>
      </c>
      <c r="H209" s="48">
        <f>'Plantilla Datos'!E214</f>
        <v>9.6999999999999993</v>
      </c>
      <c r="I209" s="49">
        <f>'Plantilla Datos'!F214</f>
        <v>17.7</v>
      </c>
      <c r="J209" s="47">
        <f>CEILING('Plantilla Datos'!$L$3*TBL_CalcDarwin[[#This Row],[Darwin Gusts
m/s]],0.5)</f>
        <v>7</v>
      </c>
      <c r="K209" s="47">
        <f>CEILING('Plantilla Datos'!$L$4*TBL_CalcDarwin[[#This Row],[Darwin Gusts
m/s]],0.5)</f>
        <v>8.5</v>
      </c>
      <c r="L209" s="47">
        <f>CEILING(TBL_CalcDarwin[[#This Row],[Darwin Gusts
m/s]],0.5)</f>
        <v>10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09" s="41">
        <f>INDEX(Curva_Temp[Temp],MATCH(TBL_CalcDarwin[[#This Row],[Darwin Temp.
°C]],Curva_Temp[Temp]))</f>
        <v>15</v>
      </c>
      <c r="R209" s="41">
        <f>INDEX(Curva_Temp[Warranted Power Curve for 
1.194Kg/m3 air density '[kW']
SG 5.0-145 (AM+1, 5.2MW) AT 
90M],MATCH(TBL_CalcDarwin[[#This Row],[Darwin Temp.
°C]],Curva_Temp[Temp]))</f>
        <v>5200</v>
      </c>
      <c r="S209" s="41" cm="1">
        <f t="array" ref="S209">INDEX(Curva_Temp[Temp],MATCH(TBL_CalcDarwin[[#This Row],[Darwin Temp.
°C]],Curva_Temp[Temp])+1)</f>
        <v>20</v>
      </c>
      <c r="T209" s="41" cm="1">
        <f t="array" ref="T209">INDEX(Curva_Temp[Warranted Power Curve for 
1.194Kg/m3 air density '[kW']
SG 5.0-145 (AM+1, 5.2MW) AT 
90M],MATCH(TBL_CalcDarwin[[#This Row],[Darwin Temp.
°C]],Curva_Temp[Temp])+1)</f>
        <v>5000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09" s="41">
        <f>INDEX(Curva_Temp[Temp],MATCH(TBL_CalcDarwin[[#This Row],[Darwin Temp.
°C]],Curva_Temp[Temp]))</f>
        <v>15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20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5000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209" s="29">
        <f>TBL_CalcDarwin[[#This Row],[Expansión - Barra B - 5.2 - Cerro]]*TBL_CalcDarwin[[#This Row],[AEG 5.2 MW Cerro]]</f>
        <v>1.597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45452.666666666169</v>
      </c>
      <c r="C210" s="17">
        <f t="shared" si="20"/>
        <v>8.6666666666666785</v>
      </c>
      <c r="D210" s="34">
        <f>TBL_CalcDarwin[[#This Row],[Darwin PLOM
MW]]+TBL_CalcDarwin[[#This Row],[Darwin PLOME
MW]]</f>
        <v>179.61</v>
      </c>
      <c r="E210" s="34">
        <f>TBL_CalcDarwin[[#This Row],[PLOM MW TOTAL BARRA A]]+TBL_CalcDarwin[[#This Row],[PLOM MW TOTAL BARRA B]]</f>
        <v>173.53800000000001</v>
      </c>
      <c r="F210" s="34">
        <f>TBL_CalcDarwin[[#This Row],[PLOME MW TOTAL BARRA A]]+TBL_CalcDarwin[[#This Row],[PLOME MW TOTAL BARRA B]]</f>
        <v>6.0719999999999992</v>
      </c>
      <c r="G210" s="48">
        <f>'Plantilla Datos'!D215</f>
        <v>7.7</v>
      </c>
      <c r="H210" s="48">
        <f>'Plantilla Datos'!E215</f>
        <v>9.6999999999999993</v>
      </c>
      <c r="I210" s="49">
        <f>'Plantilla Datos'!F215</f>
        <v>17.600000000000001</v>
      </c>
      <c r="J210" s="47">
        <f>CEILING('Plantilla Datos'!$L$3*TBL_CalcDarwin[[#This Row],[Darwin Gusts
m/s]],0.5)</f>
        <v>7</v>
      </c>
      <c r="K210" s="47">
        <f>CEILING('Plantilla Datos'!$L$4*TBL_CalcDarwin[[#This Row],[Darwin Gusts
m/s]],0.5)</f>
        <v>8.5</v>
      </c>
      <c r="L210" s="47">
        <f>CEILING(TBL_CalcDarwin[[#This Row],[Darwin Gusts
m/s]],0.5)</f>
        <v>10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10" s="41">
        <f>INDEX(Curva_Temp[Temp],MATCH(TBL_CalcDarwin[[#This Row],[Darwin Temp.
°C]],Curva_Temp[Temp]))</f>
        <v>15</v>
      </c>
      <c r="R210" s="41">
        <f>INDEX(Curva_Temp[Warranted Power Curve for 
1.194Kg/m3 air density '[kW']
SG 5.0-145 (AM+1, 5.2MW) AT 
90M],MATCH(TBL_CalcDarwin[[#This Row],[Darwin Temp.
°C]],Curva_Temp[Temp]))</f>
        <v>5200</v>
      </c>
      <c r="S210" s="41" cm="1">
        <f t="array" ref="S210">INDEX(Curva_Temp[Temp],MATCH(TBL_CalcDarwin[[#This Row],[Darwin Temp.
°C]],Curva_Temp[Temp])+1)</f>
        <v>20</v>
      </c>
      <c r="T210" s="41" cm="1">
        <f t="array" ref="T210">INDEX(Curva_Temp[Warranted Power Curve for 
1.194Kg/m3 air density '[kW']
SG 5.0-145 (AM+1, 5.2MW) AT 
90M],MATCH(TBL_CalcDarwin[[#This Row],[Darwin Temp.
°C]],Curva_Temp[Temp])+1)</f>
        <v>5000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10" s="41">
        <f>INDEX(Curva_Temp[Temp],MATCH(TBL_CalcDarwin[[#This Row],[Darwin Temp.
°C]],Curva_Temp[Temp]))</f>
        <v>15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20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5000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210" s="29">
        <f>TBL_CalcDarwin[[#This Row],[Expansión - Barra B - 5.2 - Cerro]]*TBL_CalcDarwin[[#This Row],[AEG 5.2 MW Cerro]]</f>
        <v>1.597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45452.708333332834</v>
      </c>
      <c r="C211" s="17">
        <f t="shared" si="20"/>
        <v>8.7083333333333446</v>
      </c>
      <c r="D211" s="34">
        <f>TBL_CalcDarwin[[#This Row],[Darwin PLOM
MW]]+TBL_CalcDarwin[[#This Row],[Darwin PLOME
MW]]</f>
        <v>179.61</v>
      </c>
      <c r="E211" s="34">
        <f>TBL_CalcDarwin[[#This Row],[PLOM MW TOTAL BARRA A]]+TBL_CalcDarwin[[#This Row],[PLOM MW TOTAL BARRA B]]</f>
        <v>173.53800000000001</v>
      </c>
      <c r="F211" s="34">
        <f>TBL_CalcDarwin[[#This Row],[PLOME MW TOTAL BARRA A]]+TBL_CalcDarwin[[#This Row],[PLOME MW TOTAL BARRA B]]</f>
        <v>6.0719999999999992</v>
      </c>
      <c r="G211" s="48">
        <f>'Plantilla Datos'!D216</f>
        <v>7.6</v>
      </c>
      <c r="H211" s="48">
        <f>'Plantilla Datos'!E216</f>
        <v>9.6</v>
      </c>
      <c r="I211" s="49">
        <f>'Plantilla Datos'!F216</f>
        <v>17.5</v>
      </c>
      <c r="J211" s="47">
        <f>CEILING('Plantilla Datos'!$L$3*TBL_CalcDarwin[[#This Row],[Darwin Gusts
m/s]],0.5)</f>
        <v>7</v>
      </c>
      <c r="K211" s="47">
        <f>CEILING('Plantilla Datos'!$L$4*TBL_CalcDarwin[[#This Row],[Darwin Gusts
m/s]],0.5)</f>
        <v>8.5</v>
      </c>
      <c r="L211" s="47">
        <f>CEILING(TBL_CalcDarwin[[#This Row],[Darwin Gusts
m/s]],0.5)</f>
        <v>10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11" s="41">
        <f>INDEX(Curva_Temp[Temp],MATCH(TBL_CalcDarwin[[#This Row],[Darwin Temp.
°C]],Curva_Temp[Temp]))</f>
        <v>15</v>
      </c>
      <c r="R211" s="41">
        <f>INDEX(Curva_Temp[Warranted Power Curve for 
1.194Kg/m3 air density '[kW']
SG 5.0-145 (AM+1, 5.2MW) AT 
90M],MATCH(TBL_CalcDarwin[[#This Row],[Darwin Temp.
°C]],Curva_Temp[Temp]))</f>
        <v>5200</v>
      </c>
      <c r="S211" s="41" cm="1">
        <f t="array" ref="S211">INDEX(Curva_Temp[Temp],MATCH(TBL_CalcDarwin[[#This Row],[Darwin Temp.
°C]],Curva_Temp[Temp])+1)</f>
        <v>20</v>
      </c>
      <c r="T211" s="41" cm="1">
        <f t="array" ref="T211">INDEX(Curva_Temp[Warranted Power Curve for 
1.194Kg/m3 air density '[kW']
SG 5.0-145 (AM+1, 5.2MW) AT 
90M],MATCH(TBL_CalcDarwin[[#This Row],[Darwin Temp.
°C]],Curva_Temp[Temp])+1)</f>
        <v>5000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11" s="41">
        <f>INDEX(Curva_Temp[Temp],MATCH(TBL_CalcDarwin[[#This Row],[Darwin Temp.
°C]],Curva_Temp[Temp]))</f>
        <v>15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20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5000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211" s="29">
        <f>TBL_CalcDarwin[[#This Row],[Expansión - Barra B - 5.2 - Cerro]]*TBL_CalcDarwin[[#This Row],[AEG 5.2 MW Cerro]]</f>
        <v>1.597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45452.749999999498</v>
      </c>
      <c r="C212" s="17">
        <f t="shared" si="20"/>
        <v>8.7500000000000107</v>
      </c>
      <c r="D212" s="34">
        <f>TBL_CalcDarwin[[#This Row],[Darwin PLOM
MW]]+TBL_CalcDarwin[[#This Row],[Darwin PLOME
MW]]</f>
        <v>166.10399999999998</v>
      </c>
      <c r="E212" s="34">
        <f>TBL_CalcDarwin[[#This Row],[PLOM MW TOTAL BARRA A]]+TBL_CalcDarwin[[#This Row],[PLOM MW TOTAL BARRA B]]</f>
        <v>160.03199999999998</v>
      </c>
      <c r="F212" s="34">
        <f>TBL_CalcDarwin[[#This Row],[PLOME MW TOTAL BARRA A]]+TBL_CalcDarwin[[#This Row],[PLOME MW TOTAL BARRA B]]</f>
        <v>6.0719999999999992</v>
      </c>
      <c r="G212" s="48">
        <f>'Plantilla Datos'!D217</f>
        <v>7.6</v>
      </c>
      <c r="H212" s="48">
        <f>'Plantilla Datos'!E217</f>
        <v>9.5</v>
      </c>
      <c r="I212" s="49">
        <f>'Plantilla Datos'!F217</f>
        <v>17.100000000000001</v>
      </c>
      <c r="J212" s="47">
        <f>CEILING('Plantilla Datos'!$L$3*TBL_CalcDarwin[[#This Row],[Darwin Gusts
m/s]],0.5)</f>
        <v>7</v>
      </c>
      <c r="K212" s="47">
        <f>CEILING('Plantilla Datos'!$L$4*TBL_CalcDarwin[[#This Row],[Darwin Gusts
m/s]],0.5)</f>
        <v>8.5</v>
      </c>
      <c r="L212" s="47">
        <f>CEILING(TBL_CalcDarwin[[#This Row],[Darwin Gusts
m/s]],0.5)</f>
        <v>9.5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12" s="41">
        <f>INDEX(Curva_Temp[Temp],MATCH(TBL_CalcDarwin[[#This Row],[Darwin Temp.
°C]],Curva_Temp[Temp]))</f>
        <v>15</v>
      </c>
      <c r="R212" s="41">
        <f>INDEX(Curva_Temp[Warranted Power Curve for 
1.194Kg/m3 air density '[kW']
SG 5.0-145 (AM+1, 5.2MW) AT 
90M],MATCH(TBL_CalcDarwin[[#This Row],[Darwin Temp.
°C]],Curva_Temp[Temp]))</f>
        <v>5200</v>
      </c>
      <c r="S212" s="41" cm="1">
        <f t="array" ref="S212">INDEX(Curva_Temp[Temp],MATCH(TBL_CalcDarwin[[#This Row],[Darwin Temp.
°C]],Curva_Temp[Temp])+1)</f>
        <v>20</v>
      </c>
      <c r="T212" s="41" cm="1">
        <f t="array" ref="T212">INDEX(Curva_Temp[Warranted Power Curve for 
1.194Kg/m3 air density '[kW']
SG 5.0-145 (AM+1, 5.2MW) AT 
90M],MATCH(TBL_CalcDarwin[[#This Row],[Darwin Temp.
°C]],Curva_Temp[Temp])+1)</f>
        <v>5000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12" s="41">
        <f>INDEX(Curva_Temp[Temp],MATCH(TBL_CalcDarwin[[#This Row],[Darwin Temp.
°C]],Curva_Temp[Temp]))</f>
        <v>15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20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5000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212" s="29">
        <f>TBL_CalcDarwin[[#This Row],[Expansión - Barra B - 5.2 - Cerro]]*TBL_CalcDarwin[[#This Row],[AEG 5.2 MW Cerro]]</f>
        <v>1.597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45452.791666666162</v>
      </c>
      <c r="C213" s="17">
        <f t="shared" si="20"/>
        <v>8.7916666666666767</v>
      </c>
      <c r="D213" s="34">
        <f>TBL_CalcDarwin[[#This Row],[Darwin PLOM
MW]]+TBL_CalcDarwin[[#This Row],[Darwin PLOME
MW]]</f>
        <v>166.10399999999998</v>
      </c>
      <c r="E213" s="34">
        <f>TBL_CalcDarwin[[#This Row],[PLOM MW TOTAL BARRA A]]+TBL_CalcDarwin[[#This Row],[PLOM MW TOTAL BARRA B]]</f>
        <v>160.03199999999998</v>
      </c>
      <c r="F213" s="34">
        <f>TBL_CalcDarwin[[#This Row],[PLOME MW TOTAL BARRA A]]+TBL_CalcDarwin[[#This Row],[PLOME MW TOTAL BARRA B]]</f>
        <v>6.0719999999999992</v>
      </c>
      <c r="G213" s="48">
        <f>'Plantilla Datos'!D218</f>
        <v>7.5</v>
      </c>
      <c r="H213" s="48">
        <f>'Plantilla Datos'!E218</f>
        <v>9.4</v>
      </c>
      <c r="I213" s="49">
        <f>'Plantilla Datos'!F218</f>
        <v>16.8</v>
      </c>
      <c r="J213" s="47">
        <f>CEILING('Plantilla Datos'!$L$3*TBL_CalcDarwin[[#This Row],[Darwin Gusts
m/s]],0.5)</f>
        <v>7</v>
      </c>
      <c r="K213" s="47">
        <f>CEILING('Plantilla Datos'!$L$4*TBL_CalcDarwin[[#This Row],[Darwin Gusts
m/s]],0.5)</f>
        <v>8.5</v>
      </c>
      <c r="L213" s="47">
        <f>CEILING(TBL_CalcDarwin[[#This Row],[Darwin Gusts
m/s]],0.5)</f>
        <v>9.5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13" s="41">
        <f>INDEX(Curva_Temp[Temp],MATCH(TBL_CalcDarwin[[#This Row],[Darwin Temp.
°C]],Curva_Temp[Temp]))</f>
        <v>15</v>
      </c>
      <c r="R213" s="41">
        <f>INDEX(Curva_Temp[Warranted Power Curve for 
1.194Kg/m3 air density '[kW']
SG 5.0-145 (AM+1, 5.2MW) AT 
90M],MATCH(TBL_CalcDarwin[[#This Row],[Darwin Temp.
°C]],Curva_Temp[Temp]))</f>
        <v>5200</v>
      </c>
      <c r="S213" s="41" cm="1">
        <f t="array" ref="S213">INDEX(Curva_Temp[Temp],MATCH(TBL_CalcDarwin[[#This Row],[Darwin Temp.
°C]],Curva_Temp[Temp])+1)</f>
        <v>20</v>
      </c>
      <c r="T213" s="41" cm="1">
        <f t="array" ref="T213">INDEX(Curva_Temp[Warranted Power Curve for 
1.194Kg/m3 air density '[kW']
SG 5.0-145 (AM+1, 5.2MW) AT 
90M],MATCH(TBL_CalcDarwin[[#This Row],[Darwin Temp.
°C]],Curva_Temp[Temp])+1)</f>
        <v>5000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13" s="41">
        <f>INDEX(Curva_Temp[Temp],MATCH(TBL_CalcDarwin[[#This Row],[Darwin Temp.
°C]],Curva_Temp[Temp]))</f>
        <v>15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20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5000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213" s="29">
        <f>TBL_CalcDarwin[[#This Row],[Expansión - Barra B - 5.2 - Cerro]]*TBL_CalcDarwin[[#This Row],[AEG 5.2 MW Cerro]]</f>
        <v>1.597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45452.833333332826</v>
      </c>
      <c r="C214" s="17">
        <f t="shared" si="20"/>
        <v>8.8333333333333428</v>
      </c>
      <c r="D214" s="34">
        <f>TBL_CalcDarwin[[#This Row],[Darwin PLOM
MW]]+TBL_CalcDarwin[[#This Row],[Darwin PLOME
MW]]</f>
        <v>0</v>
      </c>
      <c r="E214" s="34">
        <f>TBL_CalcDarwin[[#This Row],[PLOM MW TOTAL BARRA A]]+TBL_CalcDarwin[[#This Row],[PLOM MW TOTAL BARRA B]]</f>
        <v>0</v>
      </c>
      <c r="F214" s="34">
        <f>TBL_CalcDarwin[[#This Row],[PLOME MW TOTAL BARRA A]]+TBL_CalcDarwin[[#This Row],[PLOME MW TOTAL BARRA B]]</f>
        <v>0</v>
      </c>
      <c r="G214" s="48">
        <f>'Plantilla Datos'!D219</f>
        <v>0</v>
      </c>
      <c r="H214" s="48">
        <f>'Plantilla Datos'!E219</f>
        <v>0</v>
      </c>
      <c r="I214" s="49">
        <f>'Plantilla Datos'!F219</f>
        <v>16.8</v>
      </c>
      <c r="J214" s="47">
        <f>CEILING('Plantilla Datos'!$L$3*TBL_CalcDarwin[[#This Row],[Darwin Gusts
m/s]],0.5)</f>
        <v>0</v>
      </c>
      <c r="K214" s="47">
        <f>CEILING('Plantilla Datos'!$L$4*TBL_CalcDarwin[[#This Row],[Darwin Gusts
m/s]],0.5)</f>
        <v>0</v>
      </c>
      <c r="L214" s="47">
        <f>CEILING(TBL_CalcDarwin[[#This Row],[Darwin Gusts
m/s]],0.5)</f>
        <v>0</v>
      </c>
      <c r="M2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2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214" s="41">
        <f>INDEX(Curva_Temp[Temp],MATCH(TBL_CalcDarwin[[#This Row],[Darwin Temp.
°C]],Curva_Temp[Temp]))</f>
        <v>15</v>
      </c>
      <c r="R214" s="41">
        <f>INDEX(Curva_Temp[Warranted Power Curve for 
1.194Kg/m3 air density '[kW']
SG 5.0-145 (AM+1, 5.2MW) AT 
90M],MATCH(TBL_CalcDarwin[[#This Row],[Darwin Temp.
°C]],Curva_Temp[Temp]))</f>
        <v>5200</v>
      </c>
      <c r="S214" s="41" cm="1">
        <f t="array" ref="S214">INDEX(Curva_Temp[Temp],MATCH(TBL_CalcDarwin[[#This Row],[Darwin Temp.
°C]],Curva_Temp[Temp])+1)</f>
        <v>20</v>
      </c>
      <c r="T214" s="41" cm="1">
        <f t="array" ref="T214">INDEX(Curva_Temp[Warranted Power Curve for 
1.194Kg/m3 air density '[kW']
SG 5.0-145 (AM+1, 5.2MW) AT 
90M],MATCH(TBL_CalcDarwin[[#This Row],[Darwin Temp.
°C]],Curva_Temp[Temp])+1)</f>
        <v>5000</v>
      </c>
      <c r="U2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214" s="41">
        <f>INDEX(Curva_Temp[Temp],MATCH(TBL_CalcDarwin[[#This Row],[Darwin Temp.
°C]],Curva_Temp[Temp]))</f>
        <v>15</v>
      </c>
      <c r="Z214" s="41">
        <f>INDEX(Curva_Temp[Warranted Power Curve for 
1.194Kg/m3 air density '[kW']
SG 5.0-145 (AM 0, 5.0MW) AT 
90M],MATCH(TBL_CalcDarwin[[#This Row],[Darwin Temp.
°C]],Curva_Temp[Temp]))</f>
        <v>5000</v>
      </c>
      <c r="AA214" s="41" cm="1">
        <f t="array" ref="AA214">INDEX(Curva_Temp[Temp],MATCH(TBL_CalcDarwin[[#This Row],[Darwin Temp.
°C]],Curva_Temp[Temp])+1)</f>
        <v>20</v>
      </c>
      <c r="AB214" s="41" cm="1">
        <f t="array" ref="AB214">INDEX(Curva_Temp[Warranted Power Curve for 
1.194Kg/m3 air density '[kW']
SG 5.0-145 (AM 0, 5.0MW) AT 
90M],MATCH(TBL_CalcDarwin[[#This Row],[Darwin Temp.
°C]],Curva_Temp[Temp])+1)</f>
        <v>5000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2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14" s="29">
        <f>TBL_CalcDarwin[[#This Row],[Expansión - Barra B - 5.2 - Cerro]]*TBL_CalcDarwin[[#This Row],[AEG 5.2 MW Cerro]]</f>
        <v>0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45452.874999999491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45452.916666666155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45452.958333332819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45452.999999999483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45453.041666666148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45453.083333332812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45453.124999999476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45453.16666666614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45453.208333332805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45453.249999999469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45453.291666666133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45453.333333332797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45453.374999999462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45453.416666666126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45453.45833333279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zoomScale="80" zoomScaleNormal="80" workbookViewId="0">
      <selection activeCell="F22" sqref="F22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38" t="str">
        <f>"DATA DE VIENTO EJECUTADO CE PUNTA LOMITAS "&amp;UPPER(TEXT(A3,"DDDD dd mmmm"))</f>
        <v>DATA DE VIENTO EJECUTADO CE PUNTA LOMITAS VIERNES 31 MAYO</v>
      </c>
      <c r="B1" s="138"/>
      <c r="C1" s="138"/>
      <c r="F1" s="138" t="str">
        <f>"GENERACIÓN PROYECTADA CE PUNTA LOMITAS, POR BARRA Y # AEG E/S "&amp;UPPER(TEXT(F3,"DDDD dd mmmm"))</f>
        <v>GENERACIÓN PROYECTADA CE PUNTA LOMITAS, POR BARRA Y # AEG E/S DOMINGO 02 JUNIO</v>
      </c>
      <c r="G1" s="138"/>
      <c r="H1" s="138"/>
      <c r="I1" s="138"/>
      <c r="J1" s="138"/>
      <c r="K1" s="138"/>
      <c r="L1" s="138"/>
      <c r="N1" s="128" t="s">
        <v>209</v>
      </c>
      <c r="P1" s="128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25">
      <c r="A3" s="106">
        <f>ROUND('Plantilla Datos'!E3,5)</f>
        <v>45443</v>
      </c>
      <c r="B3" s="51">
        <v>0</v>
      </c>
      <c r="C3" s="1">
        <f>'Plantilla Datos'!K9</f>
        <v>10.9</v>
      </c>
      <c r="F3" s="107">
        <f>(Table2[[#This Row],[Fecha]]+2)</f>
        <v>45445</v>
      </c>
      <c r="G3" s="52">
        <f>Table2[[#This Row],[Hora]]</f>
        <v>0</v>
      </c>
      <c r="H3" s="53">
        <f>VLOOKUP(Table1[[#This Row],[Fecha]],TBL_CalcDarwin[],42,1)</f>
        <v>9.3470000000000013</v>
      </c>
      <c r="I3" s="53">
        <f>VLOOKUP(Table1[[#This Row],[Fecha]],TBL_CalcDarwin[],43,1)</f>
        <v>12.301</v>
      </c>
      <c r="J3" s="73">
        <f>VLOOKUP(Table1[[#This Row],[Fecha]],TBL_CalcDarwin[],40,1)</f>
        <v>17</v>
      </c>
      <c r="K3" s="73">
        <f>VLOOKUP(Table1[[#This Row],[Fecha]],TBL_CalcDarwin[],41,1)</f>
        <v>18</v>
      </c>
      <c r="L3" s="53">
        <f>Table1[[#This Row],[MW Proyectada (Barra A)]]+Table1[[#This Row],[MW Proyectada (Barra B)]]</f>
        <v>21.648000000000003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9.3470000000000013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12.301</v>
      </c>
      <c r="P3" s="53">
        <f>N3+O3</f>
        <v>21.648000000000003</v>
      </c>
    </row>
    <row r="4" spans="1:16" x14ac:dyDescent="0.25">
      <c r="A4" s="106">
        <f>A3+TIME(0,30,0)</f>
        <v>45443.020833333336</v>
      </c>
      <c r="B4" s="51">
        <f>B3+TIME(0,30,0)</f>
        <v>2.0833333333333332E-2</v>
      </c>
      <c r="C4" s="1">
        <f>'Plantilla Datos'!K10</f>
        <v>7.4</v>
      </c>
      <c r="F4" s="107">
        <f>(Table2[[#This Row],[Fecha]]+2)</f>
        <v>45445.020833333336</v>
      </c>
      <c r="G4" s="52">
        <f>Table2[[#This Row],[Hora]]</f>
        <v>2.0833333333333332E-2</v>
      </c>
      <c r="H4" s="53">
        <f>VLOOKUP(Table1[[#This Row],[Fecha]],TBL_CalcDarwin[],42,1)</f>
        <v>9.3470000000000013</v>
      </c>
      <c r="I4" s="53">
        <f>VLOOKUP(Table1[[#This Row],[Fecha]],TBL_CalcDarwin[],43,1)</f>
        <v>12.301</v>
      </c>
      <c r="J4" s="73">
        <f>VLOOKUP(Table1[[#This Row],[Fecha]],TBL_CalcDarwin[],40,1)</f>
        <v>17</v>
      </c>
      <c r="K4" s="73">
        <f>VLOOKUP(Table1[[#This Row],[Fecha]],TBL_CalcDarwin[],41,1)</f>
        <v>18</v>
      </c>
      <c r="L4" s="53">
        <f>Table1[[#This Row],[MW Proyectada (Barra A)]]+Table1[[#This Row],[MW Proyectada (Barra B)]]</f>
        <v>21.648000000000003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9.3470000000000013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12.301</v>
      </c>
      <c r="P4" s="53">
        <f t="shared" ref="P4:P50" si="0">N4+O4</f>
        <v>21.648000000000003</v>
      </c>
    </row>
    <row r="5" spans="1:16" x14ac:dyDescent="0.25">
      <c r="A5" s="106">
        <f t="shared" ref="A5:A50" si="1">A4+TIME(0,30,0)</f>
        <v>45443.041666666672</v>
      </c>
      <c r="B5" s="51">
        <f t="shared" ref="B5:B50" si="2">B4+TIME(0,30,0)</f>
        <v>4.1666666666666664E-2</v>
      </c>
      <c r="C5" s="1">
        <f>'Plantilla Datos'!K11</f>
        <v>8.9</v>
      </c>
      <c r="F5" s="107">
        <f>(Table2[[#This Row],[Fecha]]+2)</f>
        <v>45445.041666666672</v>
      </c>
      <c r="G5" s="52">
        <f>Table2[[#This Row],[Hora]]</f>
        <v>4.1666666666666664E-2</v>
      </c>
      <c r="H5" s="53">
        <f>VLOOKUP(Table1[[#This Row],[Fecha]],TBL_CalcDarwin[],42,1)</f>
        <v>5.048</v>
      </c>
      <c r="I5" s="53">
        <f>VLOOKUP(Table1[[#This Row],[Fecha]],TBL_CalcDarwin[],43,1)</f>
        <v>6.407</v>
      </c>
      <c r="J5" s="73">
        <f>VLOOKUP(Table1[[#This Row],[Fecha]],TBL_CalcDarwin[],40,1)</f>
        <v>17</v>
      </c>
      <c r="K5" s="73">
        <f>VLOOKUP(Table1[[#This Row],[Fecha]],TBL_CalcDarwin[],41,1)</f>
        <v>18</v>
      </c>
      <c r="L5" s="53">
        <f>Table1[[#This Row],[MW Proyectada (Barra A)]]+Table1[[#This Row],[MW Proyectada (Barra B)]]</f>
        <v>11.455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5.048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6.407</v>
      </c>
      <c r="P5" s="53">
        <f t="shared" si="0"/>
        <v>11.455</v>
      </c>
    </row>
    <row r="6" spans="1:16" x14ac:dyDescent="0.25">
      <c r="A6" s="106">
        <f t="shared" si="1"/>
        <v>45443.062500000007</v>
      </c>
      <c r="B6" s="51">
        <f t="shared" si="2"/>
        <v>6.25E-2</v>
      </c>
      <c r="C6" s="1">
        <f>'Plantilla Datos'!K12</f>
        <v>6</v>
      </c>
      <c r="F6" s="107">
        <f>(Table2[[#This Row],[Fecha]]+2)</f>
        <v>45445.062500000007</v>
      </c>
      <c r="G6" s="52">
        <f>Table2[[#This Row],[Hora]]</f>
        <v>6.25E-2</v>
      </c>
      <c r="H6" s="53">
        <f>VLOOKUP(Table1[[#This Row],[Fecha]],TBL_CalcDarwin[],42,1)</f>
        <v>5.048</v>
      </c>
      <c r="I6" s="53">
        <f>VLOOKUP(Table1[[#This Row],[Fecha]],TBL_CalcDarwin[],43,1)</f>
        <v>6.407</v>
      </c>
      <c r="J6" s="73">
        <f>VLOOKUP(Table1[[#This Row],[Fecha]],TBL_CalcDarwin[],40,1)</f>
        <v>17</v>
      </c>
      <c r="K6" s="73">
        <f>VLOOKUP(Table1[[#This Row],[Fecha]],TBL_CalcDarwin[],41,1)</f>
        <v>18</v>
      </c>
      <c r="L6" s="53">
        <f>Table1[[#This Row],[MW Proyectada (Barra A)]]+Table1[[#This Row],[MW Proyectada (Barra B)]]</f>
        <v>11.455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5.048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6.407</v>
      </c>
      <c r="P6" s="53">
        <f t="shared" si="0"/>
        <v>11.455</v>
      </c>
    </row>
    <row r="7" spans="1:16" x14ac:dyDescent="0.25">
      <c r="A7" s="106">
        <f t="shared" si="1"/>
        <v>45443.083333333343</v>
      </c>
      <c r="B7" s="51">
        <f t="shared" si="2"/>
        <v>8.3333333333333329E-2</v>
      </c>
      <c r="C7" s="1">
        <f>'Plantilla Datos'!K13</f>
        <v>7.3</v>
      </c>
      <c r="F7" s="107">
        <f>(Table2[[#This Row],[Fecha]]+2)</f>
        <v>45445.083333333343</v>
      </c>
      <c r="G7" s="52">
        <f>Table2[[#This Row],[Hora]]</f>
        <v>8.3333333333333329E-2</v>
      </c>
      <c r="H7" s="53">
        <f>VLOOKUP(Table1[[#This Row],[Fecha]],TBL_CalcDarwin[],42,1)</f>
        <v>3.0109999999999997</v>
      </c>
      <c r="I7" s="53">
        <f>VLOOKUP(Table1[[#This Row],[Fecha]],TBL_CalcDarwin[],43,1)</f>
        <v>3.9950000000000001</v>
      </c>
      <c r="J7" s="73">
        <f>VLOOKUP(Table1[[#This Row],[Fecha]],TBL_CalcDarwin[],40,1)</f>
        <v>17</v>
      </c>
      <c r="K7" s="73">
        <f>VLOOKUP(Table1[[#This Row],[Fecha]],TBL_CalcDarwin[],41,1)</f>
        <v>18</v>
      </c>
      <c r="L7" s="53">
        <f>Table1[[#This Row],[MW Proyectada (Barra A)]]+Table1[[#This Row],[MW Proyectada (Barra B)]]</f>
        <v>7.0060000000000002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3.0109999999999997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3.9950000000000001</v>
      </c>
      <c r="P7" s="53">
        <f t="shared" si="0"/>
        <v>7.0060000000000002</v>
      </c>
    </row>
    <row r="8" spans="1:16" x14ac:dyDescent="0.25">
      <c r="A8" s="106">
        <f t="shared" si="1"/>
        <v>45443.104166666679</v>
      </c>
      <c r="B8" s="51">
        <f t="shared" si="2"/>
        <v>0.10416666666666666</v>
      </c>
      <c r="C8" s="1">
        <f>'Plantilla Datos'!K14</f>
        <v>5.4</v>
      </c>
      <c r="F8" s="107">
        <f>(Table2[[#This Row],[Fecha]]+2)</f>
        <v>45445.104166666679</v>
      </c>
      <c r="G8" s="52">
        <f>Table2[[#This Row],[Hora]]</f>
        <v>0.10416666666666666</v>
      </c>
      <c r="H8" s="53">
        <f>VLOOKUP(Table1[[#This Row],[Fecha]],TBL_CalcDarwin[],42,1)</f>
        <v>3.0109999999999997</v>
      </c>
      <c r="I8" s="53">
        <f>VLOOKUP(Table1[[#This Row],[Fecha]],TBL_CalcDarwin[],43,1)</f>
        <v>3.9950000000000001</v>
      </c>
      <c r="J8" s="73">
        <f>VLOOKUP(Table1[[#This Row],[Fecha]],TBL_CalcDarwin[],40,1)</f>
        <v>17</v>
      </c>
      <c r="K8" s="73">
        <f>VLOOKUP(Table1[[#This Row],[Fecha]],TBL_CalcDarwin[],41,1)</f>
        <v>18</v>
      </c>
      <c r="L8" s="53">
        <f>Table1[[#This Row],[MW Proyectada (Barra A)]]+Table1[[#This Row],[MW Proyectada (Barra B)]]</f>
        <v>7.0060000000000002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3.0109999999999997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3.9950000000000001</v>
      </c>
      <c r="P8" s="53">
        <f t="shared" si="0"/>
        <v>7.0060000000000002</v>
      </c>
    </row>
    <row r="9" spans="1:16" x14ac:dyDescent="0.25">
      <c r="A9" s="106">
        <f t="shared" si="1"/>
        <v>45443.125000000015</v>
      </c>
      <c r="B9" s="51">
        <f t="shared" si="2"/>
        <v>0.12499999999999999</v>
      </c>
      <c r="C9" s="1">
        <f>'Plantilla Datos'!K15</f>
        <v>5.2</v>
      </c>
      <c r="F9" s="107">
        <f>(Table2[[#This Row],[Fecha]]+2)</f>
        <v>45445.125000000015</v>
      </c>
      <c r="G9" s="52">
        <f>Table2[[#This Row],[Hora]]</f>
        <v>0.12499999999999999</v>
      </c>
      <c r="H9" s="53">
        <f>VLOOKUP(Table1[[#This Row],[Fecha]],TBL_CalcDarwin[],42,1)</f>
        <v>1.4449999999999998</v>
      </c>
      <c r="I9" s="53">
        <f>VLOOKUP(Table1[[#This Row],[Fecha]],TBL_CalcDarwin[],43,1)</f>
        <v>2.09</v>
      </c>
      <c r="J9" s="73">
        <f>VLOOKUP(Table1[[#This Row],[Fecha]],TBL_CalcDarwin[],40,1)</f>
        <v>17</v>
      </c>
      <c r="K9" s="73">
        <f>VLOOKUP(Table1[[#This Row],[Fecha]],TBL_CalcDarwin[],41,1)</f>
        <v>18</v>
      </c>
      <c r="L9" s="53">
        <f>Table1[[#This Row],[MW Proyectada (Barra A)]]+Table1[[#This Row],[MW Proyectada (Barra B)]]</f>
        <v>3.5349999999999997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1.4449999999999998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2.09</v>
      </c>
      <c r="P9" s="53">
        <f t="shared" si="0"/>
        <v>3.5349999999999997</v>
      </c>
    </row>
    <row r="10" spans="1:16" x14ac:dyDescent="0.25">
      <c r="A10" s="106">
        <f t="shared" si="1"/>
        <v>45443.14583333335</v>
      </c>
      <c r="B10" s="51">
        <f t="shared" si="2"/>
        <v>0.14583333333333331</v>
      </c>
      <c r="C10" s="1">
        <f>'Plantilla Datos'!K16</f>
        <v>8.8000000000000007</v>
      </c>
      <c r="F10" s="107">
        <f>(Table2[[#This Row],[Fecha]]+2)</f>
        <v>45445.14583333335</v>
      </c>
      <c r="G10" s="52">
        <f>Table2[[#This Row],[Hora]]</f>
        <v>0.14583333333333331</v>
      </c>
      <c r="H10" s="53">
        <f>VLOOKUP(Table1[[#This Row],[Fecha]],TBL_CalcDarwin[],42,1)</f>
        <v>1.4449999999999998</v>
      </c>
      <c r="I10" s="53">
        <f>VLOOKUP(Table1[[#This Row],[Fecha]],TBL_CalcDarwin[],43,1)</f>
        <v>2.09</v>
      </c>
      <c r="J10" s="73">
        <f>VLOOKUP(Table1[[#This Row],[Fecha]],TBL_CalcDarwin[],40,1)</f>
        <v>17</v>
      </c>
      <c r="K10" s="73">
        <f>VLOOKUP(Table1[[#This Row],[Fecha]],TBL_CalcDarwin[],41,1)</f>
        <v>18</v>
      </c>
      <c r="L10" s="53">
        <f>Table1[[#This Row],[MW Proyectada (Barra A)]]+Table1[[#This Row],[MW Proyectada (Barra B)]]</f>
        <v>3.5349999999999997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1.4449999999999998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2.09</v>
      </c>
      <c r="P10" s="53">
        <f t="shared" si="0"/>
        <v>3.5349999999999997</v>
      </c>
    </row>
    <row r="11" spans="1:16" x14ac:dyDescent="0.25">
      <c r="A11" s="106">
        <f t="shared" si="1"/>
        <v>45443.166666666686</v>
      </c>
      <c r="B11" s="51">
        <f t="shared" si="2"/>
        <v>0.16666666666666666</v>
      </c>
      <c r="C11" s="1">
        <f>'Plantilla Datos'!K17</f>
        <v>11.3</v>
      </c>
      <c r="F11" s="107">
        <f>(Table2[[#This Row],[Fecha]]+2)</f>
        <v>45445.166666666686</v>
      </c>
      <c r="G11" s="52">
        <f>Table2[[#This Row],[Hora]]</f>
        <v>0.16666666666666666</v>
      </c>
      <c r="H11" s="53">
        <f>VLOOKUP(Table1[[#This Row],[Fecha]],TBL_CalcDarwin[],42,1)</f>
        <v>0.495</v>
      </c>
      <c r="I11" s="53">
        <f>VLOOKUP(Table1[[#This Row],[Fecha]],TBL_CalcDarwin[],43,1)</f>
        <v>0.81500000000000006</v>
      </c>
      <c r="J11" s="73">
        <f>VLOOKUP(Table1[[#This Row],[Fecha]],TBL_CalcDarwin[],40,1)</f>
        <v>17</v>
      </c>
      <c r="K11" s="73">
        <f>VLOOKUP(Table1[[#This Row],[Fecha]],TBL_CalcDarwin[],41,1)</f>
        <v>18</v>
      </c>
      <c r="L11" s="53">
        <f>Table1[[#This Row],[MW Proyectada (Barra A)]]+Table1[[#This Row],[MW Proyectada (Barra B)]]</f>
        <v>1.31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0.495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0.81500000000000006</v>
      </c>
      <c r="P11" s="53">
        <f t="shared" si="0"/>
        <v>1.31</v>
      </c>
    </row>
    <row r="12" spans="1:16" x14ac:dyDescent="0.25">
      <c r="A12" s="106">
        <f t="shared" si="1"/>
        <v>45443.187500000022</v>
      </c>
      <c r="B12" s="51">
        <f t="shared" si="2"/>
        <v>0.1875</v>
      </c>
      <c r="C12" s="1">
        <f>'Plantilla Datos'!K18</f>
        <v>9.6</v>
      </c>
      <c r="F12" s="107">
        <f>(Table2[[#This Row],[Fecha]]+2)</f>
        <v>45445.187500000022</v>
      </c>
      <c r="G12" s="52">
        <f>Table2[[#This Row],[Hora]]</f>
        <v>0.1875</v>
      </c>
      <c r="H12" s="53">
        <f>VLOOKUP(Table1[[#This Row],[Fecha]],TBL_CalcDarwin[],42,1)</f>
        <v>0.495</v>
      </c>
      <c r="I12" s="53">
        <f>VLOOKUP(Table1[[#This Row],[Fecha]],TBL_CalcDarwin[],43,1)</f>
        <v>0.81500000000000006</v>
      </c>
      <c r="J12" s="73">
        <f>VLOOKUP(Table1[[#This Row],[Fecha]],TBL_CalcDarwin[],40,1)</f>
        <v>17</v>
      </c>
      <c r="K12" s="73">
        <f>VLOOKUP(Table1[[#This Row],[Fecha]],TBL_CalcDarwin[],41,1)</f>
        <v>18</v>
      </c>
      <c r="L12" s="53">
        <f>Table1[[#This Row],[MW Proyectada (Barra A)]]+Table1[[#This Row],[MW Proyectada (Barra B)]]</f>
        <v>1.31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0.495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0.81500000000000006</v>
      </c>
      <c r="P12" s="53">
        <f t="shared" si="0"/>
        <v>1.31</v>
      </c>
    </row>
    <row r="13" spans="1:16" x14ac:dyDescent="0.25">
      <c r="A13" s="106">
        <f t="shared" si="1"/>
        <v>45443.208333333358</v>
      </c>
      <c r="B13" s="51">
        <f t="shared" si="2"/>
        <v>0.20833333333333334</v>
      </c>
      <c r="C13" s="1">
        <f>'Plantilla Datos'!K19</f>
        <v>10.4</v>
      </c>
      <c r="F13" s="107">
        <f>(Table2[[#This Row],[Fecha]]+2)</f>
        <v>45445.208333333358</v>
      </c>
      <c r="G13" s="52">
        <f>Table2[[#This Row],[Hora]]</f>
        <v>0.20833333333333334</v>
      </c>
      <c r="H13" s="53">
        <f>VLOOKUP(Table1[[#This Row],[Fecha]],TBL_CalcDarwin[],42,1)</f>
        <v>0</v>
      </c>
      <c r="I13" s="53">
        <f>VLOOKUP(Table1[[#This Row],[Fecha]],TBL_CalcDarwin[],43,1)</f>
        <v>0</v>
      </c>
      <c r="J13" s="73">
        <f>VLOOKUP(Table1[[#This Row],[Fecha]],TBL_CalcDarwin[],40,1)</f>
        <v>17</v>
      </c>
      <c r="K13" s="73">
        <f>VLOOKUP(Table1[[#This Row],[Fecha]],TBL_CalcDarwin[],41,1)</f>
        <v>18</v>
      </c>
      <c r="L13" s="53">
        <f>Table1[[#This Row],[MW Proyectada (Barra A)]]+Table1[[#This Row],[MW Proyectada (Barra B)]]</f>
        <v>0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3" s="53">
        <f t="shared" si="0"/>
        <v>0</v>
      </c>
    </row>
    <row r="14" spans="1:16" x14ac:dyDescent="0.25">
      <c r="A14" s="106">
        <f t="shared" si="1"/>
        <v>45443.229166666693</v>
      </c>
      <c r="B14" s="51">
        <f t="shared" si="2"/>
        <v>0.22916666666666669</v>
      </c>
      <c r="C14" s="1">
        <f>'Plantilla Datos'!K20</f>
        <v>8.6</v>
      </c>
      <c r="F14" s="107">
        <f>(Table2[[#This Row],[Fecha]]+2)</f>
        <v>45445.229166666693</v>
      </c>
      <c r="G14" s="52">
        <f>Table2[[#This Row],[Hora]]</f>
        <v>0.22916666666666669</v>
      </c>
      <c r="H14" s="53">
        <f>VLOOKUP(Table1[[#This Row],[Fecha]],TBL_CalcDarwin[],42,1)</f>
        <v>0</v>
      </c>
      <c r="I14" s="53">
        <f>VLOOKUP(Table1[[#This Row],[Fecha]],TBL_CalcDarwin[],43,1)</f>
        <v>0</v>
      </c>
      <c r="J14" s="73">
        <f>VLOOKUP(Table1[[#This Row],[Fecha]],TBL_CalcDarwin[],40,1)</f>
        <v>17</v>
      </c>
      <c r="K14" s="73">
        <f>VLOOKUP(Table1[[#This Row],[Fecha]],TBL_CalcDarwin[],41,1)</f>
        <v>18</v>
      </c>
      <c r="L14" s="53">
        <f>Table1[[#This Row],[MW Proyectada (Barra A)]]+Table1[[#This Row],[MW Proyectada (Barra B)]]</f>
        <v>0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4" s="53">
        <f t="shared" si="0"/>
        <v>0</v>
      </c>
    </row>
    <row r="15" spans="1:16" x14ac:dyDescent="0.25">
      <c r="A15" s="106">
        <f t="shared" si="1"/>
        <v>45443.250000000029</v>
      </c>
      <c r="B15" s="51">
        <f t="shared" si="2"/>
        <v>0.25</v>
      </c>
      <c r="C15" s="1">
        <f>'Plantilla Datos'!K21</f>
        <v>7.6</v>
      </c>
      <c r="F15" s="107">
        <f>(Table2[[#This Row],[Fecha]]+2)</f>
        <v>45445.250000000029</v>
      </c>
      <c r="G15" s="52">
        <f>Table2[[#This Row],[Hora]]</f>
        <v>0.25</v>
      </c>
      <c r="H15" s="53">
        <f>VLOOKUP(Table1[[#This Row],[Fecha]],TBL_CalcDarwin[],42,1)</f>
        <v>0</v>
      </c>
      <c r="I15" s="53">
        <f>VLOOKUP(Table1[[#This Row],[Fecha]],TBL_CalcDarwin[],43,1)</f>
        <v>0</v>
      </c>
      <c r="J15" s="73">
        <f>VLOOKUP(Table1[[#This Row],[Fecha]],TBL_CalcDarwin[],40,1)</f>
        <v>17</v>
      </c>
      <c r="K15" s="73">
        <f>VLOOKUP(Table1[[#This Row],[Fecha]],TBL_CalcDarwin[],41,1)</f>
        <v>18</v>
      </c>
      <c r="L15" s="53">
        <f>Table1[[#This Row],[MW Proyectada (Barra A)]]+Table1[[#This Row],[MW Proyectada (Barra B)]]</f>
        <v>0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5" s="53">
        <f t="shared" si="0"/>
        <v>0</v>
      </c>
    </row>
    <row r="16" spans="1:16" x14ac:dyDescent="0.25">
      <c r="A16" s="106">
        <f t="shared" si="1"/>
        <v>45443.270833333365</v>
      </c>
      <c r="B16" s="51">
        <f t="shared" si="2"/>
        <v>0.27083333333333331</v>
      </c>
      <c r="C16" s="1">
        <f>'Plantilla Datos'!K22</f>
        <v>8.8000000000000007</v>
      </c>
      <c r="F16" s="107">
        <f>(Table2[[#This Row],[Fecha]]+2)</f>
        <v>45445.270833333365</v>
      </c>
      <c r="G16" s="52">
        <f>Table2[[#This Row],[Hora]]</f>
        <v>0.27083333333333331</v>
      </c>
      <c r="H16" s="53">
        <f>VLOOKUP(Table1[[#This Row],[Fecha]],TBL_CalcDarwin[],42,1)</f>
        <v>0</v>
      </c>
      <c r="I16" s="53">
        <f>VLOOKUP(Table1[[#This Row],[Fecha]],TBL_CalcDarwin[],43,1)</f>
        <v>0</v>
      </c>
      <c r="J16" s="73">
        <f>VLOOKUP(Table1[[#This Row],[Fecha]],TBL_CalcDarwin[],40,1)</f>
        <v>17</v>
      </c>
      <c r="K16" s="73">
        <f>VLOOKUP(Table1[[#This Row],[Fecha]],TBL_CalcDarwin[],41,1)</f>
        <v>18</v>
      </c>
      <c r="L16" s="53">
        <f>Table1[[#This Row],[MW Proyectada (Barra A)]]+Table1[[#This Row],[MW Proyectada (Barra B)]]</f>
        <v>0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6" s="53">
        <f t="shared" si="0"/>
        <v>0</v>
      </c>
    </row>
    <row r="17" spans="1:16" x14ac:dyDescent="0.25">
      <c r="A17" s="106">
        <f t="shared" si="1"/>
        <v>45443.291666666701</v>
      </c>
      <c r="B17" s="51">
        <f t="shared" si="2"/>
        <v>0.29166666666666663</v>
      </c>
      <c r="C17" s="1">
        <f>'Plantilla Datos'!K23</f>
        <v>7.1</v>
      </c>
      <c r="F17" s="107">
        <f>(Table2[[#This Row],[Fecha]]+2)</f>
        <v>45445.291666666701</v>
      </c>
      <c r="G17" s="52">
        <f>Table2[[#This Row],[Hora]]</f>
        <v>0.29166666666666663</v>
      </c>
      <c r="H17" s="53">
        <f>VLOOKUP(Table1[[#This Row],[Fecha]],TBL_CalcDarwin[],42,1)</f>
        <v>0</v>
      </c>
      <c r="I17" s="53">
        <f>VLOOKUP(Table1[[#This Row],[Fecha]],TBL_CalcDarwin[],43,1)</f>
        <v>0</v>
      </c>
      <c r="J17" s="73">
        <f>VLOOKUP(Table1[[#This Row],[Fecha]],TBL_CalcDarwin[],40,1)</f>
        <v>17</v>
      </c>
      <c r="K17" s="73">
        <f>VLOOKUP(Table1[[#This Row],[Fecha]],TBL_CalcDarwin[],41,1)</f>
        <v>18</v>
      </c>
      <c r="L17" s="53">
        <f>Table1[[#This Row],[MW Proyectada (Barra A)]]+Table1[[#This Row],[MW Proyectada (Barra B)]]</f>
        <v>0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7" s="53">
        <f t="shared" si="0"/>
        <v>0</v>
      </c>
    </row>
    <row r="18" spans="1:16" x14ac:dyDescent="0.25">
      <c r="A18" s="106">
        <f t="shared" si="1"/>
        <v>45443.312500000036</v>
      </c>
      <c r="B18" s="51">
        <f t="shared" si="2"/>
        <v>0.31249999999999994</v>
      </c>
      <c r="C18" s="1">
        <f>'Plantilla Datos'!K24</f>
        <v>7.1</v>
      </c>
      <c r="F18" s="107">
        <f>(Table2[[#This Row],[Fecha]]+2)</f>
        <v>45445.312500000036</v>
      </c>
      <c r="G18" s="52">
        <f>Table2[[#This Row],[Hora]]</f>
        <v>0.31249999999999994</v>
      </c>
      <c r="H18" s="53">
        <f>VLOOKUP(Table1[[#This Row],[Fecha]],TBL_CalcDarwin[],42,1)</f>
        <v>0</v>
      </c>
      <c r="I18" s="53">
        <f>VLOOKUP(Table1[[#This Row],[Fecha]],TBL_CalcDarwin[],43,1)</f>
        <v>0</v>
      </c>
      <c r="J18" s="73">
        <f>VLOOKUP(Table1[[#This Row],[Fecha]],TBL_CalcDarwin[],40,1)</f>
        <v>17</v>
      </c>
      <c r="K18" s="73">
        <f>VLOOKUP(Table1[[#This Row],[Fecha]],TBL_CalcDarwin[],41,1)</f>
        <v>18</v>
      </c>
      <c r="L18" s="53">
        <f>Table1[[#This Row],[MW Proyectada (Barra A)]]+Table1[[#This Row],[MW Proyectada (Barra B)]]</f>
        <v>0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8" s="53">
        <f t="shared" si="0"/>
        <v>0</v>
      </c>
    </row>
    <row r="19" spans="1:16" x14ac:dyDescent="0.25">
      <c r="A19" s="106">
        <f t="shared" si="1"/>
        <v>45443.333333333372</v>
      </c>
      <c r="B19" s="51">
        <f t="shared" si="2"/>
        <v>0.33333333333333326</v>
      </c>
      <c r="C19" s="1">
        <f>'Plantilla Datos'!K25</f>
        <v>6.6</v>
      </c>
      <c r="F19" s="107">
        <f>(Table2[[#This Row],[Fecha]]+2)</f>
        <v>45445.333333333372</v>
      </c>
      <c r="G19" s="52">
        <f>Table2[[#This Row],[Hora]]</f>
        <v>0.33333333333333326</v>
      </c>
      <c r="H19" s="53">
        <f>VLOOKUP(Table1[[#This Row],[Fecha]],TBL_CalcDarwin[],42,1)</f>
        <v>0.495</v>
      </c>
      <c r="I19" s="53">
        <f>VLOOKUP(Table1[[#This Row],[Fecha]],TBL_CalcDarwin[],43,1)</f>
        <v>0.81500000000000006</v>
      </c>
      <c r="J19" s="73">
        <f>VLOOKUP(Table1[[#This Row],[Fecha]],TBL_CalcDarwin[],40,1)</f>
        <v>17</v>
      </c>
      <c r="K19" s="73">
        <f>VLOOKUP(Table1[[#This Row],[Fecha]],TBL_CalcDarwin[],41,1)</f>
        <v>18</v>
      </c>
      <c r="L19" s="53">
        <f>Table1[[#This Row],[MW Proyectada (Barra A)]]+Table1[[#This Row],[MW Proyectada (Barra B)]]</f>
        <v>1.31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0.495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0.81500000000000006</v>
      </c>
      <c r="P19" s="53">
        <f t="shared" si="0"/>
        <v>1.31</v>
      </c>
    </row>
    <row r="20" spans="1:16" x14ac:dyDescent="0.25">
      <c r="A20" s="106">
        <f t="shared" si="1"/>
        <v>45443.354166666708</v>
      </c>
      <c r="B20" s="51">
        <f t="shared" si="2"/>
        <v>0.35416666666666657</v>
      </c>
      <c r="C20" s="1">
        <f>'Plantilla Datos'!K26</f>
        <v>5.2</v>
      </c>
      <c r="F20" s="107">
        <f>(Table2[[#This Row],[Fecha]]+2)</f>
        <v>45445.354166666708</v>
      </c>
      <c r="G20" s="52">
        <f>Table2[[#This Row],[Hora]]</f>
        <v>0.35416666666666657</v>
      </c>
      <c r="H20" s="53">
        <f>VLOOKUP(Table1[[#This Row],[Fecha]],TBL_CalcDarwin[],42,1)</f>
        <v>0.495</v>
      </c>
      <c r="I20" s="53">
        <f>VLOOKUP(Table1[[#This Row],[Fecha]],TBL_CalcDarwin[],43,1)</f>
        <v>0.81500000000000006</v>
      </c>
      <c r="J20" s="73">
        <f>VLOOKUP(Table1[[#This Row],[Fecha]],TBL_CalcDarwin[],40,1)</f>
        <v>17</v>
      </c>
      <c r="K20" s="73">
        <f>VLOOKUP(Table1[[#This Row],[Fecha]],TBL_CalcDarwin[],41,1)</f>
        <v>18</v>
      </c>
      <c r="L20" s="53">
        <f>Table1[[#This Row],[MW Proyectada (Barra A)]]+Table1[[#This Row],[MW Proyectada (Barra B)]]</f>
        <v>1.31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0.495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0.81500000000000006</v>
      </c>
      <c r="P20" s="53">
        <f t="shared" si="0"/>
        <v>1.31</v>
      </c>
    </row>
    <row r="21" spans="1:16" x14ac:dyDescent="0.25">
      <c r="A21" s="106">
        <f t="shared" si="1"/>
        <v>45443.375000000044</v>
      </c>
      <c r="B21" s="51">
        <f t="shared" si="2"/>
        <v>0.37499999999999989</v>
      </c>
      <c r="C21" s="1">
        <f>'Plantilla Datos'!K27</f>
        <v>6.6</v>
      </c>
      <c r="F21" s="107">
        <f>(Table2[[#This Row],[Fecha]]+2)</f>
        <v>45445.375000000044</v>
      </c>
      <c r="G21" s="52">
        <f>Table2[[#This Row],[Hora]]</f>
        <v>0.37499999999999989</v>
      </c>
      <c r="H21" s="53">
        <f>VLOOKUP(Table1[[#This Row],[Fecha]],TBL_CalcDarwin[],42,1)</f>
        <v>3.0109999999999997</v>
      </c>
      <c r="I21" s="53">
        <f>VLOOKUP(Table1[[#This Row],[Fecha]],TBL_CalcDarwin[],43,1)</f>
        <v>3.9950000000000001</v>
      </c>
      <c r="J21" s="73">
        <f>VLOOKUP(Table1[[#This Row],[Fecha]],TBL_CalcDarwin[],40,1)</f>
        <v>17</v>
      </c>
      <c r="K21" s="73">
        <f>VLOOKUP(Table1[[#This Row],[Fecha]],TBL_CalcDarwin[],41,1)</f>
        <v>18</v>
      </c>
      <c r="L21" s="53">
        <f>Table1[[#This Row],[MW Proyectada (Barra A)]]+Table1[[#This Row],[MW Proyectada (Barra B)]]</f>
        <v>7.0060000000000002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3.0109999999999997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3.9950000000000001</v>
      </c>
      <c r="P21" s="53">
        <f t="shared" si="0"/>
        <v>7.0060000000000002</v>
      </c>
    </row>
    <row r="22" spans="1:16" x14ac:dyDescent="0.25">
      <c r="A22" s="106">
        <f t="shared" si="1"/>
        <v>45443.395833333379</v>
      </c>
      <c r="B22" s="51">
        <f t="shared" si="2"/>
        <v>0.3958333333333332</v>
      </c>
      <c r="C22" s="1">
        <f>'Plantilla Datos'!K28</f>
        <v>8.1</v>
      </c>
      <c r="F22" s="107">
        <f>(Table2[[#This Row],[Fecha]]+2)</f>
        <v>45445.395833333379</v>
      </c>
      <c r="G22" s="52">
        <f>Table2[[#This Row],[Hora]]</f>
        <v>0.3958333333333332</v>
      </c>
      <c r="H22" s="53">
        <f>VLOOKUP(Table1[[#This Row],[Fecha]],TBL_CalcDarwin[],42,1)</f>
        <v>3.0109999999999997</v>
      </c>
      <c r="I22" s="53">
        <f>VLOOKUP(Table1[[#This Row],[Fecha]],TBL_CalcDarwin[],43,1)</f>
        <v>3.9950000000000001</v>
      </c>
      <c r="J22" s="73">
        <f>VLOOKUP(Table1[[#This Row],[Fecha]],TBL_CalcDarwin[],40,1)</f>
        <v>17</v>
      </c>
      <c r="K22" s="73">
        <f>VLOOKUP(Table1[[#This Row],[Fecha]],TBL_CalcDarwin[],41,1)</f>
        <v>18</v>
      </c>
      <c r="L22" s="53">
        <f>Table1[[#This Row],[MW Proyectada (Barra A)]]+Table1[[#This Row],[MW Proyectada (Barra B)]]</f>
        <v>7.0060000000000002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3.0109999999999997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3.9950000000000001</v>
      </c>
      <c r="P22" s="53">
        <f t="shared" si="0"/>
        <v>7.0060000000000002</v>
      </c>
    </row>
    <row r="23" spans="1:16" x14ac:dyDescent="0.25">
      <c r="A23" s="106">
        <f t="shared" si="1"/>
        <v>45443.416666666715</v>
      </c>
      <c r="B23" s="51">
        <f t="shared" si="2"/>
        <v>0.41666666666666652</v>
      </c>
      <c r="C23" s="1">
        <f>'Plantilla Datos'!K29</f>
        <v>7.8</v>
      </c>
      <c r="F23" s="107">
        <f>(Table2[[#This Row],[Fecha]]+2)</f>
        <v>45445.416666666715</v>
      </c>
      <c r="G23" s="52">
        <f>Table2[[#This Row],[Hora]]</f>
        <v>0.41666666666666652</v>
      </c>
      <c r="H23" s="53">
        <f>VLOOKUP(Table1[[#This Row],[Fecha]],TBL_CalcDarwin[],42,1)</f>
        <v>5.048</v>
      </c>
      <c r="I23" s="53">
        <f>VLOOKUP(Table1[[#This Row],[Fecha]],TBL_CalcDarwin[],43,1)</f>
        <v>6.407</v>
      </c>
      <c r="J23" s="73">
        <f>VLOOKUP(Table1[[#This Row],[Fecha]],TBL_CalcDarwin[],40,1)</f>
        <v>17</v>
      </c>
      <c r="K23" s="73">
        <f>VLOOKUP(Table1[[#This Row],[Fecha]],TBL_CalcDarwin[],41,1)</f>
        <v>18</v>
      </c>
      <c r="L23" s="53">
        <f>Table1[[#This Row],[MW Proyectada (Barra A)]]+Table1[[#This Row],[MW Proyectada (Barra B)]]</f>
        <v>11.455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5.048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6.407</v>
      </c>
      <c r="P23" s="53">
        <f t="shared" si="0"/>
        <v>11.455</v>
      </c>
    </row>
    <row r="24" spans="1:16" x14ac:dyDescent="0.25">
      <c r="A24" s="106">
        <f t="shared" si="1"/>
        <v>45443.437500000051</v>
      </c>
      <c r="B24" s="51">
        <f t="shared" si="2"/>
        <v>0.43749999999999983</v>
      </c>
      <c r="C24" s="1">
        <f>'Plantilla Datos'!K30</f>
        <v>7.1</v>
      </c>
      <c r="F24" s="107">
        <f>(Table2[[#This Row],[Fecha]]+2)</f>
        <v>45445.437500000051</v>
      </c>
      <c r="G24" s="52">
        <f>Table2[[#This Row],[Hora]]</f>
        <v>0.43749999999999983</v>
      </c>
      <c r="H24" s="53">
        <f>VLOOKUP(Table1[[#This Row],[Fecha]],TBL_CalcDarwin[],42,1)</f>
        <v>5.048</v>
      </c>
      <c r="I24" s="53">
        <f>VLOOKUP(Table1[[#This Row],[Fecha]],TBL_CalcDarwin[],43,1)</f>
        <v>6.407</v>
      </c>
      <c r="J24" s="73">
        <f>VLOOKUP(Table1[[#This Row],[Fecha]],TBL_CalcDarwin[],40,1)</f>
        <v>17</v>
      </c>
      <c r="K24" s="73">
        <f>VLOOKUP(Table1[[#This Row],[Fecha]],TBL_CalcDarwin[],41,1)</f>
        <v>18</v>
      </c>
      <c r="L24" s="53">
        <f>Table1[[#This Row],[MW Proyectada (Barra A)]]+Table1[[#This Row],[MW Proyectada (Barra B)]]</f>
        <v>11.455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5.048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6.407</v>
      </c>
      <c r="P24" s="53">
        <f t="shared" si="0"/>
        <v>11.455</v>
      </c>
    </row>
    <row r="25" spans="1:16" x14ac:dyDescent="0.25">
      <c r="A25" s="106">
        <f t="shared" si="1"/>
        <v>45443.458333333387</v>
      </c>
      <c r="B25" s="51">
        <f t="shared" si="2"/>
        <v>0.45833333333333315</v>
      </c>
      <c r="C25" s="1">
        <f>'Plantilla Datos'!K31</f>
        <v>11.4</v>
      </c>
      <c r="F25" s="107">
        <f>(Table2[[#This Row],[Fecha]]+2)</f>
        <v>45445.458333333387</v>
      </c>
      <c r="G25" s="52">
        <f>Table2[[#This Row],[Hora]]</f>
        <v>0.45833333333333315</v>
      </c>
      <c r="H25" s="53">
        <f>VLOOKUP(Table1[[#This Row],[Fecha]],TBL_CalcDarwin[],42,1)</f>
        <v>9.3470000000000013</v>
      </c>
      <c r="I25" s="53">
        <f>VLOOKUP(Table1[[#This Row],[Fecha]],TBL_CalcDarwin[],43,1)</f>
        <v>12.301</v>
      </c>
      <c r="J25" s="73">
        <f>VLOOKUP(Table1[[#This Row],[Fecha]],TBL_CalcDarwin[],40,1)</f>
        <v>17</v>
      </c>
      <c r="K25" s="73">
        <f>VLOOKUP(Table1[[#This Row],[Fecha]],TBL_CalcDarwin[],41,1)</f>
        <v>18</v>
      </c>
      <c r="L25" s="53">
        <f>Table1[[#This Row],[MW Proyectada (Barra A)]]+Table1[[#This Row],[MW Proyectada (Barra B)]]</f>
        <v>21.648000000000003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9.3470000000000013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12.301</v>
      </c>
      <c r="P25" s="53">
        <f t="shared" si="0"/>
        <v>21.648000000000003</v>
      </c>
    </row>
    <row r="26" spans="1:16" x14ac:dyDescent="0.25">
      <c r="A26" s="106">
        <f t="shared" si="1"/>
        <v>45443.479166666722</v>
      </c>
      <c r="B26" s="51">
        <f t="shared" si="2"/>
        <v>0.47916666666666646</v>
      </c>
      <c r="C26" s="1">
        <f>'Plantilla Datos'!K32</f>
        <v>12.3</v>
      </c>
      <c r="F26" s="107">
        <f>(Table2[[#This Row],[Fecha]]+2)</f>
        <v>45445.479166666722</v>
      </c>
      <c r="G26" s="52">
        <f>Table2[[#This Row],[Hora]]</f>
        <v>0.47916666666666646</v>
      </c>
      <c r="H26" s="53">
        <f>VLOOKUP(Table1[[#This Row],[Fecha]],TBL_CalcDarwin[],42,1)</f>
        <v>9.3470000000000013</v>
      </c>
      <c r="I26" s="53">
        <f>VLOOKUP(Table1[[#This Row],[Fecha]],TBL_CalcDarwin[],43,1)</f>
        <v>12.301</v>
      </c>
      <c r="J26" s="73">
        <f>VLOOKUP(Table1[[#This Row],[Fecha]],TBL_CalcDarwin[],40,1)</f>
        <v>17</v>
      </c>
      <c r="K26" s="73">
        <f>VLOOKUP(Table1[[#This Row],[Fecha]],TBL_CalcDarwin[],41,1)</f>
        <v>18</v>
      </c>
      <c r="L26" s="53">
        <f>Table1[[#This Row],[MW Proyectada (Barra A)]]+Table1[[#This Row],[MW Proyectada (Barra B)]]</f>
        <v>21.648000000000003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9.3470000000000013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12.301</v>
      </c>
      <c r="P26" s="53">
        <f t="shared" si="0"/>
        <v>21.648000000000003</v>
      </c>
    </row>
    <row r="27" spans="1:16" x14ac:dyDescent="0.25">
      <c r="A27" s="106">
        <f t="shared" si="1"/>
        <v>45443.500000000058</v>
      </c>
      <c r="B27" s="51">
        <f t="shared" si="2"/>
        <v>0.49999999999999978</v>
      </c>
      <c r="C27" s="1">
        <f>'Plantilla Datos'!K33</f>
        <v>10.6</v>
      </c>
      <c r="F27" s="107">
        <f>(Table2[[#This Row],[Fecha]]+2)</f>
        <v>45445.500000000058</v>
      </c>
      <c r="G27" s="52">
        <f>Table2[[#This Row],[Hora]]</f>
        <v>0.49999999999999978</v>
      </c>
      <c r="H27" s="53">
        <f>VLOOKUP(Table1[[#This Row],[Fecha]],TBL_CalcDarwin[],42,1)</f>
        <v>12.728</v>
      </c>
      <c r="I27" s="53">
        <f>VLOOKUP(Table1[[#This Row],[Fecha]],TBL_CalcDarwin[],43,1)</f>
        <v>16.381</v>
      </c>
      <c r="J27" s="73">
        <f>VLOOKUP(Table1[[#This Row],[Fecha]],TBL_CalcDarwin[],40,1)</f>
        <v>17</v>
      </c>
      <c r="K27" s="73">
        <f>VLOOKUP(Table1[[#This Row],[Fecha]],TBL_CalcDarwin[],41,1)</f>
        <v>18</v>
      </c>
      <c r="L27" s="53">
        <f>Table1[[#This Row],[MW Proyectada (Barra A)]]+Table1[[#This Row],[MW Proyectada (Barra B)]]</f>
        <v>29.109000000000002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12.728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16.381</v>
      </c>
      <c r="P27" s="53">
        <f t="shared" si="0"/>
        <v>29.109000000000002</v>
      </c>
    </row>
    <row r="28" spans="1:16" x14ac:dyDescent="0.25">
      <c r="A28" s="106">
        <f t="shared" si="1"/>
        <v>45443.520833333394</v>
      </c>
      <c r="B28" s="51">
        <f t="shared" si="2"/>
        <v>0.52083333333333315</v>
      </c>
      <c r="C28" s="1">
        <f>'Plantilla Datos'!K34</f>
        <v>11.7</v>
      </c>
      <c r="F28" s="107">
        <f>(Table2[[#This Row],[Fecha]]+2)</f>
        <v>45445.520833333394</v>
      </c>
      <c r="G28" s="52">
        <f>Table2[[#This Row],[Hora]]</f>
        <v>0.52083333333333315</v>
      </c>
      <c r="H28" s="53">
        <f>VLOOKUP(Table1[[#This Row],[Fecha]],TBL_CalcDarwin[],42,1)</f>
        <v>12.728</v>
      </c>
      <c r="I28" s="53">
        <f>VLOOKUP(Table1[[#This Row],[Fecha]],TBL_CalcDarwin[],43,1)</f>
        <v>16.381</v>
      </c>
      <c r="J28" s="73">
        <f>VLOOKUP(Table1[[#This Row],[Fecha]],TBL_CalcDarwin[],40,1)</f>
        <v>17</v>
      </c>
      <c r="K28" s="73">
        <f>VLOOKUP(Table1[[#This Row],[Fecha]],TBL_CalcDarwin[],41,1)</f>
        <v>18</v>
      </c>
      <c r="L28" s="53">
        <f>Table1[[#This Row],[MW Proyectada (Barra A)]]+Table1[[#This Row],[MW Proyectada (Barra B)]]</f>
        <v>29.109000000000002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12.728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16.381</v>
      </c>
      <c r="P28" s="53">
        <f t="shared" si="0"/>
        <v>29.109000000000002</v>
      </c>
    </row>
    <row r="29" spans="1:16" x14ac:dyDescent="0.25">
      <c r="A29" s="106">
        <f t="shared" si="1"/>
        <v>45443.54166666673</v>
      </c>
      <c r="B29" s="51">
        <f t="shared" si="2"/>
        <v>0.54166666666666652</v>
      </c>
      <c r="C29" s="1">
        <f>'Plantilla Datos'!K35</f>
        <v>11.5</v>
      </c>
      <c r="F29" s="107">
        <f>(Table2[[#This Row],[Fecha]]+2)</f>
        <v>45445.54166666673</v>
      </c>
      <c r="G29" s="52">
        <f>Table2[[#This Row],[Hora]]</f>
        <v>0.54166666666666652</v>
      </c>
      <c r="H29" s="53">
        <f>VLOOKUP(Table1[[#This Row],[Fecha]],TBL_CalcDarwin[],42,1)</f>
        <v>16.759999999999998</v>
      </c>
      <c r="I29" s="53">
        <f>VLOOKUP(Table1[[#This Row],[Fecha]],TBL_CalcDarwin[],43,1)</f>
        <v>21.22</v>
      </c>
      <c r="J29" s="73">
        <f>VLOOKUP(Table1[[#This Row],[Fecha]],TBL_CalcDarwin[],40,1)</f>
        <v>17</v>
      </c>
      <c r="K29" s="73">
        <f>VLOOKUP(Table1[[#This Row],[Fecha]],TBL_CalcDarwin[],41,1)</f>
        <v>18</v>
      </c>
      <c r="L29" s="53">
        <f>Table1[[#This Row],[MW Proyectada (Barra A)]]+Table1[[#This Row],[MW Proyectada (Barra B)]]</f>
        <v>37.979999999999997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16.759999999999998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21.22</v>
      </c>
      <c r="P29" s="53">
        <f t="shared" si="0"/>
        <v>37.979999999999997</v>
      </c>
    </row>
    <row r="30" spans="1:16" x14ac:dyDescent="0.25">
      <c r="A30" s="106">
        <f t="shared" si="1"/>
        <v>45443.562500000065</v>
      </c>
      <c r="B30" s="51">
        <f t="shared" si="2"/>
        <v>0.56249999999999989</v>
      </c>
      <c r="C30" s="1">
        <f>'Plantilla Datos'!K36</f>
        <v>10.1</v>
      </c>
      <c r="F30" s="107">
        <f>(Table2[[#This Row],[Fecha]]+2)</f>
        <v>45445.562500000065</v>
      </c>
      <c r="G30" s="52">
        <f>Table2[[#This Row],[Hora]]</f>
        <v>0.56249999999999989</v>
      </c>
      <c r="H30" s="53">
        <f>VLOOKUP(Table1[[#This Row],[Fecha]],TBL_CalcDarwin[],42,1)</f>
        <v>16.759999999999998</v>
      </c>
      <c r="I30" s="53">
        <f>VLOOKUP(Table1[[#This Row],[Fecha]],TBL_CalcDarwin[],43,1)</f>
        <v>21.22</v>
      </c>
      <c r="J30" s="73">
        <f>VLOOKUP(Table1[[#This Row],[Fecha]],TBL_CalcDarwin[],40,1)</f>
        <v>17</v>
      </c>
      <c r="K30" s="73">
        <f>VLOOKUP(Table1[[#This Row],[Fecha]],TBL_CalcDarwin[],41,1)</f>
        <v>18</v>
      </c>
      <c r="L30" s="53">
        <f>Table1[[#This Row],[MW Proyectada (Barra A)]]+Table1[[#This Row],[MW Proyectada (Barra B)]]</f>
        <v>37.979999999999997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16.759999999999998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21.22</v>
      </c>
      <c r="P30" s="53">
        <f t="shared" si="0"/>
        <v>37.979999999999997</v>
      </c>
    </row>
    <row r="31" spans="1:16" x14ac:dyDescent="0.25">
      <c r="A31" s="106">
        <f t="shared" si="1"/>
        <v>45443.583333333401</v>
      </c>
      <c r="B31" s="51">
        <f t="shared" si="2"/>
        <v>0.58333333333333326</v>
      </c>
      <c r="C31" s="1">
        <f>'Plantilla Datos'!K37</f>
        <v>9.1999999999999993</v>
      </c>
      <c r="F31" s="107">
        <f>(Table2[[#This Row],[Fecha]]+2)</f>
        <v>45445.583333333401</v>
      </c>
      <c r="G31" s="52">
        <f>Table2[[#This Row],[Hora]]</f>
        <v>0.58333333333333326</v>
      </c>
      <c r="H31" s="53">
        <f>VLOOKUP(Table1[[#This Row],[Fecha]],TBL_CalcDarwin[],42,1)</f>
        <v>16.759999999999998</v>
      </c>
      <c r="I31" s="53">
        <f>VLOOKUP(Table1[[#This Row],[Fecha]],TBL_CalcDarwin[],43,1)</f>
        <v>21.22</v>
      </c>
      <c r="J31" s="73">
        <f>VLOOKUP(Table1[[#This Row],[Fecha]],TBL_CalcDarwin[],40,1)</f>
        <v>17</v>
      </c>
      <c r="K31" s="73">
        <f>VLOOKUP(Table1[[#This Row],[Fecha]],TBL_CalcDarwin[],41,1)</f>
        <v>18</v>
      </c>
      <c r="L31" s="53">
        <f>Table1[[#This Row],[MW Proyectada (Barra A)]]+Table1[[#This Row],[MW Proyectada (Barra B)]]</f>
        <v>37.979999999999997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16.759999999999998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21.22</v>
      </c>
      <c r="P31" s="53">
        <f t="shared" si="0"/>
        <v>37.979999999999997</v>
      </c>
    </row>
    <row r="32" spans="1:16" x14ac:dyDescent="0.25">
      <c r="A32" s="106">
        <f t="shared" si="1"/>
        <v>45443.604166666737</v>
      </c>
      <c r="B32" s="51">
        <f t="shared" si="2"/>
        <v>0.60416666666666663</v>
      </c>
      <c r="C32" s="1">
        <f>'Plantilla Datos'!K38</f>
        <v>10</v>
      </c>
      <c r="F32" s="107">
        <f>(Table2[[#This Row],[Fecha]]+2)</f>
        <v>45445.604166666737</v>
      </c>
      <c r="G32" s="52">
        <f>Table2[[#This Row],[Hora]]</f>
        <v>0.60416666666666663</v>
      </c>
      <c r="H32" s="53">
        <f>VLOOKUP(Table1[[#This Row],[Fecha]],TBL_CalcDarwin[],42,1)</f>
        <v>16.759999999999998</v>
      </c>
      <c r="I32" s="53">
        <f>VLOOKUP(Table1[[#This Row],[Fecha]],TBL_CalcDarwin[],43,1)</f>
        <v>21.22</v>
      </c>
      <c r="J32" s="73">
        <f>VLOOKUP(Table1[[#This Row],[Fecha]],TBL_CalcDarwin[],40,1)</f>
        <v>17</v>
      </c>
      <c r="K32" s="73">
        <f>VLOOKUP(Table1[[#This Row],[Fecha]],TBL_CalcDarwin[],41,1)</f>
        <v>18</v>
      </c>
      <c r="L32" s="53">
        <f>Table1[[#This Row],[MW Proyectada (Barra A)]]+Table1[[#This Row],[MW Proyectada (Barra B)]]</f>
        <v>37.979999999999997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16.759999999999998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21.22</v>
      </c>
      <c r="P32" s="53">
        <f t="shared" si="0"/>
        <v>37.979999999999997</v>
      </c>
    </row>
    <row r="33" spans="1:16" x14ac:dyDescent="0.25">
      <c r="A33" s="106">
        <f t="shared" si="1"/>
        <v>45443.625000000073</v>
      </c>
      <c r="B33" s="51">
        <f t="shared" si="2"/>
        <v>0.625</v>
      </c>
      <c r="C33" s="1">
        <f>'Plantilla Datos'!K39</f>
        <v>12.4</v>
      </c>
      <c r="F33" s="107">
        <f>(Table2[[#This Row],[Fecha]]+2)</f>
        <v>45445.625000000073</v>
      </c>
      <c r="G33" s="52">
        <f>Table2[[#This Row],[Hora]]</f>
        <v>0.625</v>
      </c>
      <c r="H33" s="53">
        <f>VLOOKUP(Table1[[#This Row],[Fecha]],TBL_CalcDarwin[],42,1)</f>
        <v>16.759999999999998</v>
      </c>
      <c r="I33" s="53">
        <f>VLOOKUP(Table1[[#This Row],[Fecha]],TBL_CalcDarwin[],43,1)</f>
        <v>21.22</v>
      </c>
      <c r="J33" s="73">
        <f>VLOOKUP(Table1[[#This Row],[Fecha]],TBL_CalcDarwin[],40,1)</f>
        <v>17</v>
      </c>
      <c r="K33" s="73">
        <f>VLOOKUP(Table1[[#This Row],[Fecha]],TBL_CalcDarwin[],41,1)</f>
        <v>18</v>
      </c>
      <c r="L33" s="53">
        <f>Table1[[#This Row],[MW Proyectada (Barra A)]]+Table1[[#This Row],[MW Proyectada (Barra B)]]</f>
        <v>37.979999999999997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16.759999999999998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21.22</v>
      </c>
      <c r="P33" s="53">
        <f t="shared" si="0"/>
        <v>37.979999999999997</v>
      </c>
    </row>
    <row r="34" spans="1:16" x14ac:dyDescent="0.25">
      <c r="A34" s="106">
        <f t="shared" si="1"/>
        <v>45443.645833333409</v>
      </c>
      <c r="B34" s="51">
        <f t="shared" si="2"/>
        <v>0.64583333333333337</v>
      </c>
      <c r="C34" s="1">
        <f>'Plantilla Datos'!K40</f>
        <v>12.1</v>
      </c>
      <c r="F34" s="107">
        <f>(Table2[[#This Row],[Fecha]]+2)</f>
        <v>45445.645833333409</v>
      </c>
      <c r="G34" s="52">
        <f>Table2[[#This Row],[Hora]]</f>
        <v>0.64583333333333337</v>
      </c>
      <c r="H34" s="53">
        <f>VLOOKUP(Table1[[#This Row],[Fecha]],TBL_CalcDarwin[],42,1)</f>
        <v>16.759999999999998</v>
      </c>
      <c r="I34" s="53">
        <f>VLOOKUP(Table1[[#This Row],[Fecha]],TBL_CalcDarwin[],43,1)</f>
        <v>21.22</v>
      </c>
      <c r="J34" s="73">
        <f>VLOOKUP(Table1[[#This Row],[Fecha]],TBL_CalcDarwin[],40,1)</f>
        <v>17</v>
      </c>
      <c r="K34" s="73">
        <f>VLOOKUP(Table1[[#This Row],[Fecha]],TBL_CalcDarwin[],41,1)</f>
        <v>18</v>
      </c>
      <c r="L34" s="53">
        <f>Table1[[#This Row],[MW Proyectada (Barra A)]]+Table1[[#This Row],[MW Proyectada (Barra B)]]</f>
        <v>37.979999999999997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16.759999999999998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21.22</v>
      </c>
      <c r="P34" s="53">
        <f t="shared" si="0"/>
        <v>37.979999999999997</v>
      </c>
    </row>
    <row r="35" spans="1:16" x14ac:dyDescent="0.25">
      <c r="A35" s="106">
        <f t="shared" si="1"/>
        <v>45443.666666666744</v>
      </c>
      <c r="B35" s="51">
        <f t="shared" si="2"/>
        <v>0.66666666666666674</v>
      </c>
      <c r="C35" s="1">
        <f>'Plantilla Datos'!K41</f>
        <v>8.3000000000000007</v>
      </c>
      <c r="F35" s="107">
        <f>(Table2[[#This Row],[Fecha]]+2)</f>
        <v>45445.666666666744</v>
      </c>
      <c r="G35" s="52">
        <f>Table2[[#This Row],[Hora]]</f>
        <v>0.66666666666666674</v>
      </c>
      <c r="H35" s="53">
        <f>VLOOKUP(Table1[[#This Row],[Fecha]],TBL_CalcDarwin[],42,1)</f>
        <v>16.759999999999998</v>
      </c>
      <c r="I35" s="53">
        <f>VLOOKUP(Table1[[#This Row],[Fecha]],TBL_CalcDarwin[],43,1)</f>
        <v>21.22</v>
      </c>
      <c r="J35" s="73">
        <f>VLOOKUP(Table1[[#This Row],[Fecha]],TBL_CalcDarwin[],40,1)</f>
        <v>17</v>
      </c>
      <c r="K35" s="73">
        <f>VLOOKUP(Table1[[#This Row],[Fecha]],TBL_CalcDarwin[],41,1)</f>
        <v>18</v>
      </c>
      <c r="L35" s="53">
        <f>Table1[[#This Row],[MW Proyectada (Barra A)]]+Table1[[#This Row],[MW Proyectada (Barra B)]]</f>
        <v>37.979999999999997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16.759999999999998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21.22</v>
      </c>
      <c r="P35" s="53">
        <f t="shared" si="0"/>
        <v>37.979999999999997</v>
      </c>
    </row>
    <row r="36" spans="1:16" x14ac:dyDescent="0.25">
      <c r="A36" s="106">
        <f t="shared" si="1"/>
        <v>45443.68750000008</v>
      </c>
      <c r="B36" s="51">
        <f t="shared" si="2"/>
        <v>0.68750000000000011</v>
      </c>
      <c r="C36" s="1">
        <f>'Plantilla Datos'!K42</f>
        <v>12.7</v>
      </c>
      <c r="F36" s="107">
        <f>(Table2[[#This Row],[Fecha]]+2)</f>
        <v>45445.68750000008</v>
      </c>
      <c r="G36" s="52">
        <f>Table2[[#This Row],[Hora]]</f>
        <v>0.68750000000000011</v>
      </c>
      <c r="H36" s="53">
        <f>VLOOKUP(Table1[[#This Row],[Fecha]],TBL_CalcDarwin[],42,1)</f>
        <v>16.759999999999998</v>
      </c>
      <c r="I36" s="53">
        <f>VLOOKUP(Table1[[#This Row],[Fecha]],TBL_CalcDarwin[],43,1)</f>
        <v>21.22</v>
      </c>
      <c r="J36" s="73">
        <f>VLOOKUP(Table1[[#This Row],[Fecha]],TBL_CalcDarwin[],40,1)</f>
        <v>17</v>
      </c>
      <c r="K36" s="73">
        <f>VLOOKUP(Table1[[#This Row],[Fecha]],TBL_CalcDarwin[],41,1)</f>
        <v>18</v>
      </c>
      <c r="L36" s="53">
        <f>Table1[[#This Row],[MW Proyectada (Barra A)]]+Table1[[#This Row],[MW Proyectada (Barra B)]]</f>
        <v>37.979999999999997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16.759999999999998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21.22</v>
      </c>
      <c r="P36" s="53">
        <f t="shared" si="0"/>
        <v>37.979999999999997</v>
      </c>
    </row>
    <row r="37" spans="1:16" x14ac:dyDescent="0.25">
      <c r="A37" s="106">
        <f t="shared" si="1"/>
        <v>45443.708333333416</v>
      </c>
      <c r="B37" s="51">
        <f t="shared" si="2"/>
        <v>0.70833333333333348</v>
      </c>
      <c r="C37" s="1">
        <f>'Plantilla Datos'!K43</f>
        <v>10.199999999999999</v>
      </c>
      <c r="F37" s="107">
        <f>(Table2[[#This Row],[Fecha]]+2)</f>
        <v>45445.708333333416</v>
      </c>
      <c r="G37" s="52">
        <f>Table2[[#This Row],[Hora]]</f>
        <v>0.70833333333333348</v>
      </c>
      <c r="H37" s="53">
        <f>VLOOKUP(Table1[[#This Row],[Fecha]],TBL_CalcDarwin[],42,1)</f>
        <v>12.728</v>
      </c>
      <c r="I37" s="53">
        <f>VLOOKUP(Table1[[#This Row],[Fecha]],TBL_CalcDarwin[],43,1)</f>
        <v>16.381</v>
      </c>
      <c r="J37" s="73">
        <f>VLOOKUP(Table1[[#This Row],[Fecha]],TBL_CalcDarwin[],40,1)</f>
        <v>17</v>
      </c>
      <c r="K37" s="73">
        <f>VLOOKUP(Table1[[#This Row],[Fecha]],TBL_CalcDarwin[],41,1)</f>
        <v>18</v>
      </c>
      <c r="L37" s="53">
        <f>Table1[[#This Row],[MW Proyectada (Barra A)]]+Table1[[#This Row],[MW Proyectada (Barra B)]]</f>
        <v>29.109000000000002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12.728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16.381</v>
      </c>
      <c r="P37" s="53">
        <f t="shared" si="0"/>
        <v>29.109000000000002</v>
      </c>
    </row>
    <row r="38" spans="1:16" x14ac:dyDescent="0.25">
      <c r="A38" s="106">
        <f t="shared" si="1"/>
        <v>45443.729166666752</v>
      </c>
      <c r="B38" s="51">
        <f t="shared" si="2"/>
        <v>0.72916666666666685</v>
      </c>
      <c r="C38" s="1">
        <f>'Plantilla Datos'!K44</f>
        <v>13.4</v>
      </c>
      <c r="F38" s="107">
        <f>(Table2[[#This Row],[Fecha]]+2)</f>
        <v>45445.729166666752</v>
      </c>
      <c r="G38" s="52">
        <f>Table2[[#This Row],[Hora]]</f>
        <v>0.72916666666666685</v>
      </c>
      <c r="H38" s="53">
        <f>VLOOKUP(Table1[[#This Row],[Fecha]],TBL_CalcDarwin[],42,1)</f>
        <v>12.728</v>
      </c>
      <c r="I38" s="53">
        <f>VLOOKUP(Table1[[#This Row],[Fecha]],TBL_CalcDarwin[],43,1)</f>
        <v>16.381</v>
      </c>
      <c r="J38" s="73">
        <f>VLOOKUP(Table1[[#This Row],[Fecha]],TBL_CalcDarwin[],40,1)</f>
        <v>17</v>
      </c>
      <c r="K38" s="73">
        <f>VLOOKUP(Table1[[#This Row],[Fecha]],TBL_CalcDarwin[],41,1)</f>
        <v>18</v>
      </c>
      <c r="L38" s="53">
        <f>Table1[[#This Row],[MW Proyectada (Barra A)]]+Table1[[#This Row],[MW Proyectada (Barra B)]]</f>
        <v>29.109000000000002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12.728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16.381</v>
      </c>
      <c r="P38" s="53">
        <f t="shared" si="0"/>
        <v>29.109000000000002</v>
      </c>
    </row>
    <row r="39" spans="1:16" x14ac:dyDescent="0.25">
      <c r="A39" s="106">
        <f t="shared" si="1"/>
        <v>45443.750000000087</v>
      </c>
      <c r="B39" s="51">
        <f t="shared" si="2"/>
        <v>0.75000000000000022</v>
      </c>
      <c r="C39" s="1">
        <f>'Plantilla Datos'!K45</f>
        <v>12.5</v>
      </c>
      <c r="F39" s="107">
        <f>(Table2[[#This Row],[Fecha]]+2)</f>
        <v>45445.750000000087</v>
      </c>
      <c r="G39" s="52">
        <f>Table2[[#This Row],[Hora]]</f>
        <v>0.75000000000000022</v>
      </c>
      <c r="H39" s="53">
        <f>VLOOKUP(Table1[[#This Row],[Fecha]],TBL_CalcDarwin[],42,1)</f>
        <v>9.3470000000000013</v>
      </c>
      <c r="I39" s="53">
        <f>VLOOKUP(Table1[[#This Row],[Fecha]],TBL_CalcDarwin[],43,1)</f>
        <v>12.301</v>
      </c>
      <c r="J39" s="73">
        <f>VLOOKUP(Table1[[#This Row],[Fecha]],TBL_CalcDarwin[],40,1)</f>
        <v>17</v>
      </c>
      <c r="K39" s="73">
        <f>VLOOKUP(Table1[[#This Row],[Fecha]],TBL_CalcDarwin[],41,1)</f>
        <v>18</v>
      </c>
      <c r="L39" s="53">
        <f>Table1[[#This Row],[MW Proyectada (Barra A)]]+Table1[[#This Row],[MW Proyectada (Barra B)]]</f>
        <v>21.648000000000003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9.3470000000000013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12.301</v>
      </c>
      <c r="P39" s="53">
        <f t="shared" si="0"/>
        <v>21.648000000000003</v>
      </c>
    </row>
    <row r="40" spans="1:16" x14ac:dyDescent="0.25">
      <c r="A40" s="106">
        <f t="shared" si="1"/>
        <v>45443.770833333423</v>
      </c>
      <c r="B40" s="51">
        <f t="shared" si="2"/>
        <v>0.77083333333333359</v>
      </c>
      <c r="C40" s="1">
        <f>'Plantilla Datos'!K46</f>
        <v>13</v>
      </c>
      <c r="F40" s="107">
        <f>(Table2[[#This Row],[Fecha]]+2)</f>
        <v>45445.770833333423</v>
      </c>
      <c r="G40" s="52">
        <f>Table2[[#This Row],[Hora]]</f>
        <v>0.77083333333333359</v>
      </c>
      <c r="H40" s="53">
        <f>VLOOKUP(Table1[[#This Row],[Fecha]],TBL_CalcDarwin[],42,1)</f>
        <v>9.3470000000000013</v>
      </c>
      <c r="I40" s="53">
        <f>VLOOKUP(Table1[[#This Row],[Fecha]],TBL_CalcDarwin[],43,1)</f>
        <v>12.301</v>
      </c>
      <c r="J40" s="73">
        <f>VLOOKUP(Table1[[#This Row],[Fecha]],TBL_CalcDarwin[],40,1)</f>
        <v>17</v>
      </c>
      <c r="K40" s="73">
        <f>VLOOKUP(Table1[[#This Row],[Fecha]],TBL_CalcDarwin[],41,1)</f>
        <v>18</v>
      </c>
      <c r="L40" s="53">
        <f>Table1[[#This Row],[MW Proyectada (Barra A)]]+Table1[[#This Row],[MW Proyectada (Barra B)]]</f>
        <v>21.648000000000003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9.3470000000000013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12.301</v>
      </c>
      <c r="P40" s="53">
        <f t="shared" si="0"/>
        <v>21.648000000000003</v>
      </c>
    </row>
    <row r="41" spans="1:16" x14ac:dyDescent="0.25">
      <c r="A41" s="106">
        <f t="shared" si="1"/>
        <v>45443.791666666759</v>
      </c>
      <c r="B41" s="51">
        <f t="shared" si="2"/>
        <v>0.79166666666666696</v>
      </c>
      <c r="C41" s="1">
        <f>'Plantilla Datos'!K47</f>
        <v>12.6</v>
      </c>
      <c r="F41" s="107">
        <f>(Table2[[#This Row],[Fecha]]+2)</f>
        <v>45445.791666666759</v>
      </c>
      <c r="G41" s="52">
        <f>Table2[[#This Row],[Hora]]</f>
        <v>0.79166666666666696</v>
      </c>
      <c r="H41" s="53">
        <f>VLOOKUP(Table1[[#This Row],[Fecha]],TBL_CalcDarwin[],42,1)</f>
        <v>6.5329999999999995</v>
      </c>
      <c r="I41" s="53">
        <f>VLOOKUP(Table1[[#This Row],[Fecha]],TBL_CalcDarwin[],43,1)</f>
        <v>8.897000000000002</v>
      </c>
      <c r="J41" s="73">
        <f>VLOOKUP(Table1[[#This Row],[Fecha]],TBL_CalcDarwin[],40,1)</f>
        <v>17</v>
      </c>
      <c r="K41" s="73">
        <f>VLOOKUP(Table1[[#This Row],[Fecha]],TBL_CalcDarwin[],41,1)</f>
        <v>18</v>
      </c>
      <c r="L41" s="53">
        <f>Table1[[#This Row],[MW Proyectada (Barra A)]]+Table1[[#This Row],[MW Proyectada (Barra B)]]</f>
        <v>15.430000000000001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6.5329999999999995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8.897000000000002</v>
      </c>
      <c r="P41" s="53">
        <f t="shared" si="0"/>
        <v>15.430000000000001</v>
      </c>
    </row>
    <row r="42" spans="1:16" x14ac:dyDescent="0.25">
      <c r="A42" s="106">
        <f t="shared" si="1"/>
        <v>45443.812500000095</v>
      </c>
      <c r="B42" s="51">
        <f t="shared" si="2"/>
        <v>0.81250000000000033</v>
      </c>
      <c r="C42" s="1">
        <f>'Plantilla Datos'!K48</f>
        <v>13.7</v>
      </c>
      <c r="F42" s="107">
        <f>(Table2[[#This Row],[Fecha]]+2)</f>
        <v>45445.812500000095</v>
      </c>
      <c r="G42" s="52">
        <f>Table2[[#This Row],[Hora]]</f>
        <v>0.81250000000000033</v>
      </c>
      <c r="H42" s="53">
        <f>VLOOKUP(Table1[[#This Row],[Fecha]],TBL_CalcDarwin[],42,1)</f>
        <v>6.5329999999999995</v>
      </c>
      <c r="I42" s="53">
        <f>VLOOKUP(Table1[[#This Row],[Fecha]],TBL_CalcDarwin[],43,1)</f>
        <v>8.897000000000002</v>
      </c>
      <c r="J42" s="73">
        <f>VLOOKUP(Table1[[#This Row],[Fecha]],TBL_CalcDarwin[],40,1)</f>
        <v>17</v>
      </c>
      <c r="K42" s="73">
        <f>VLOOKUP(Table1[[#This Row],[Fecha]],TBL_CalcDarwin[],41,1)</f>
        <v>18</v>
      </c>
      <c r="L42" s="53">
        <f>Table1[[#This Row],[MW Proyectada (Barra A)]]+Table1[[#This Row],[MW Proyectada (Barra B)]]</f>
        <v>15.430000000000001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6.5329999999999995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8.897000000000002</v>
      </c>
      <c r="P42" s="53">
        <f t="shared" si="0"/>
        <v>15.430000000000001</v>
      </c>
    </row>
    <row r="43" spans="1:16" x14ac:dyDescent="0.25">
      <c r="A43" s="106">
        <f t="shared" si="1"/>
        <v>45443.83333333343</v>
      </c>
      <c r="B43" s="51">
        <f t="shared" si="2"/>
        <v>0.8333333333333337</v>
      </c>
      <c r="C43" s="1">
        <f>'Plantilla Datos'!K49</f>
        <v>15.4</v>
      </c>
      <c r="F43" s="107">
        <f>(Table2[[#This Row],[Fecha]]+2)</f>
        <v>45445.83333333343</v>
      </c>
      <c r="G43" s="52">
        <f>Table2[[#This Row],[Hora]]</f>
        <v>0.8333333333333337</v>
      </c>
      <c r="H43" s="53">
        <f>VLOOKUP(Table1[[#This Row],[Fecha]],TBL_CalcDarwin[],42,1)</f>
        <v>5.048</v>
      </c>
      <c r="I43" s="53">
        <f>VLOOKUP(Table1[[#This Row],[Fecha]],TBL_CalcDarwin[],43,1)</f>
        <v>6.407</v>
      </c>
      <c r="J43" s="73">
        <f>VLOOKUP(Table1[[#This Row],[Fecha]],TBL_CalcDarwin[],40,1)</f>
        <v>17</v>
      </c>
      <c r="K43" s="73">
        <f>VLOOKUP(Table1[[#This Row],[Fecha]],TBL_CalcDarwin[],41,1)</f>
        <v>18</v>
      </c>
      <c r="L43" s="53">
        <f>Table1[[#This Row],[MW Proyectada (Barra A)]]+Table1[[#This Row],[MW Proyectada (Barra B)]]</f>
        <v>11.455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5.048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6.407</v>
      </c>
      <c r="P43" s="53">
        <f t="shared" si="0"/>
        <v>11.455</v>
      </c>
    </row>
    <row r="44" spans="1:16" x14ac:dyDescent="0.25">
      <c r="A44" s="106">
        <f t="shared" si="1"/>
        <v>45443.854166666766</v>
      </c>
      <c r="B44" s="51">
        <f t="shared" si="2"/>
        <v>0.85416666666666707</v>
      </c>
      <c r="C44" s="1">
        <f>'Plantilla Datos'!K50</f>
        <v>13.2</v>
      </c>
      <c r="F44" s="107">
        <f>(Table2[[#This Row],[Fecha]]+2)</f>
        <v>45445.854166666766</v>
      </c>
      <c r="G44" s="52">
        <f>Table2[[#This Row],[Hora]]</f>
        <v>0.85416666666666707</v>
      </c>
      <c r="H44" s="53">
        <f>VLOOKUP(Table1[[#This Row],[Fecha]],TBL_CalcDarwin[],42,1)</f>
        <v>5.048</v>
      </c>
      <c r="I44" s="53">
        <f>VLOOKUP(Table1[[#This Row],[Fecha]],TBL_CalcDarwin[],43,1)</f>
        <v>6.407</v>
      </c>
      <c r="J44" s="73">
        <f>VLOOKUP(Table1[[#This Row],[Fecha]],TBL_CalcDarwin[],40,1)</f>
        <v>17</v>
      </c>
      <c r="K44" s="73">
        <f>VLOOKUP(Table1[[#This Row],[Fecha]],TBL_CalcDarwin[],41,1)</f>
        <v>18</v>
      </c>
      <c r="L44" s="53">
        <f>Table1[[#This Row],[MW Proyectada (Barra A)]]+Table1[[#This Row],[MW Proyectada (Barra B)]]</f>
        <v>11.455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5.048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6.407</v>
      </c>
      <c r="P44" s="53">
        <f t="shared" si="0"/>
        <v>11.455</v>
      </c>
    </row>
    <row r="45" spans="1:16" x14ac:dyDescent="0.25">
      <c r="A45" s="106">
        <f t="shared" si="1"/>
        <v>45443.875000000102</v>
      </c>
      <c r="B45" s="51">
        <f t="shared" si="2"/>
        <v>0.87500000000000044</v>
      </c>
      <c r="C45" s="1">
        <f>'Plantilla Datos'!K51</f>
        <v>14.4</v>
      </c>
      <c r="F45" s="107">
        <f>(Table2[[#This Row],[Fecha]]+2)</f>
        <v>45445.875000000102</v>
      </c>
      <c r="G45" s="52">
        <f>Table2[[#This Row],[Hora]]</f>
        <v>0.87500000000000044</v>
      </c>
      <c r="H45" s="53">
        <f>VLOOKUP(Table1[[#This Row],[Fecha]],TBL_CalcDarwin[],42,1)</f>
        <v>5.048</v>
      </c>
      <c r="I45" s="53">
        <f>VLOOKUP(Table1[[#This Row],[Fecha]],TBL_CalcDarwin[],43,1)</f>
        <v>6.407</v>
      </c>
      <c r="J45" s="73">
        <f>VLOOKUP(Table1[[#This Row],[Fecha]],TBL_CalcDarwin[],40,1)</f>
        <v>17</v>
      </c>
      <c r="K45" s="73">
        <f>VLOOKUP(Table1[[#This Row],[Fecha]],TBL_CalcDarwin[],41,1)</f>
        <v>18</v>
      </c>
      <c r="L45" s="53">
        <f>Table1[[#This Row],[MW Proyectada (Barra A)]]+Table1[[#This Row],[MW Proyectada (Barra B)]]</f>
        <v>11.455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5.048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6.407</v>
      </c>
      <c r="P45" s="53">
        <f t="shared" si="0"/>
        <v>11.455</v>
      </c>
    </row>
    <row r="46" spans="1:16" x14ac:dyDescent="0.25">
      <c r="A46" s="106">
        <f t="shared" si="1"/>
        <v>45443.895833333438</v>
      </c>
      <c r="B46" s="51">
        <f t="shared" si="2"/>
        <v>0.89583333333333381</v>
      </c>
      <c r="C46" s="1">
        <f>'Plantilla Datos'!K52</f>
        <v>11.3</v>
      </c>
      <c r="F46" s="107">
        <f>(Table2[[#This Row],[Fecha]]+2)</f>
        <v>45445.895833333438</v>
      </c>
      <c r="G46" s="52">
        <f>Table2[[#This Row],[Hora]]</f>
        <v>0.89583333333333381</v>
      </c>
      <c r="H46" s="53">
        <f>VLOOKUP(Table1[[#This Row],[Fecha]],TBL_CalcDarwin[],42,1)</f>
        <v>5.048</v>
      </c>
      <c r="I46" s="53">
        <f>VLOOKUP(Table1[[#This Row],[Fecha]],TBL_CalcDarwin[],43,1)</f>
        <v>6.407</v>
      </c>
      <c r="J46" s="73">
        <f>VLOOKUP(Table1[[#This Row],[Fecha]],TBL_CalcDarwin[],40,1)</f>
        <v>17</v>
      </c>
      <c r="K46" s="73">
        <f>VLOOKUP(Table1[[#This Row],[Fecha]],TBL_CalcDarwin[],41,1)</f>
        <v>18</v>
      </c>
      <c r="L46" s="53">
        <f>Table1[[#This Row],[MW Proyectada (Barra A)]]+Table1[[#This Row],[MW Proyectada (Barra B)]]</f>
        <v>11.455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5.048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6.407</v>
      </c>
      <c r="P46" s="53">
        <f t="shared" si="0"/>
        <v>11.455</v>
      </c>
    </row>
    <row r="47" spans="1:16" x14ac:dyDescent="0.25">
      <c r="A47" s="106">
        <f t="shared" si="1"/>
        <v>45443.916666666773</v>
      </c>
      <c r="B47" s="51">
        <f t="shared" si="2"/>
        <v>0.91666666666666718</v>
      </c>
      <c r="C47" s="1">
        <f>'Plantilla Datos'!K53</f>
        <v>13.2</v>
      </c>
      <c r="F47" s="107">
        <f>(Table2[[#This Row],[Fecha]]+2)</f>
        <v>45445.916666666773</v>
      </c>
      <c r="G47" s="52">
        <f>Table2[[#This Row],[Hora]]</f>
        <v>0.91666666666666718</v>
      </c>
      <c r="H47" s="53">
        <f>VLOOKUP(Table1[[#This Row],[Fecha]],TBL_CalcDarwin[],42,1)</f>
        <v>5.048</v>
      </c>
      <c r="I47" s="53">
        <f>VLOOKUP(Table1[[#This Row],[Fecha]],TBL_CalcDarwin[],43,1)</f>
        <v>6.407</v>
      </c>
      <c r="J47" s="73">
        <f>VLOOKUP(Table1[[#This Row],[Fecha]],TBL_CalcDarwin[],40,1)</f>
        <v>17</v>
      </c>
      <c r="K47" s="73">
        <f>VLOOKUP(Table1[[#This Row],[Fecha]],TBL_CalcDarwin[],41,1)</f>
        <v>18</v>
      </c>
      <c r="L47" s="53">
        <f>Table1[[#This Row],[MW Proyectada (Barra A)]]+Table1[[#This Row],[MW Proyectada (Barra B)]]</f>
        <v>11.455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5.048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6.407</v>
      </c>
      <c r="P47" s="53">
        <f t="shared" si="0"/>
        <v>11.455</v>
      </c>
    </row>
    <row r="48" spans="1:16" x14ac:dyDescent="0.25">
      <c r="A48" s="106">
        <f t="shared" si="1"/>
        <v>45443.937500000109</v>
      </c>
      <c r="B48" s="51">
        <f t="shared" si="2"/>
        <v>0.93750000000000056</v>
      </c>
      <c r="C48" s="1">
        <f>'Plantilla Datos'!K54</f>
        <v>12.4</v>
      </c>
      <c r="F48" s="107">
        <f>(Table2[[#This Row],[Fecha]]+2)</f>
        <v>45445.937500000109</v>
      </c>
      <c r="G48" s="52">
        <f>Table2[[#This Row],[Hora]]</f>
        <v>0.93750000000000056</v>
      </c>
      <c r="H48" s="53">
        <f>VLOOKUP(Table1[[#This Row],[Fecha]],TBL_CalcDarwin[],42,1)</f>
        <v>5.048</v>
      </c>
      <c r="I48" s="53">
        <f>VLOOKUP(Table1[[#This Row],[Fecha]],TBL_CalcDarwin[],43,1)</f>
        <v>6.407</v>
      </c>
      <c r="J48" s="73">
        <f>VLOOKUP(Table1[[#This Row],[Fecha]],TBL_CalcDarwin[],40,1)</f>
        <v>17</v>
      </c>
      <c r="K48" s="73">
        <f>VLOOKUP(Table1[[#This Row],[Fecha]],TBL_CalcDarwin[],41,1)</f>
        <v>18</v>
      </c>
      <c r="L48" s="53">
        <f>Table1[[#This Row],[MW Proyectada (Barra A)]]+Table1[[#This Row],[MW Proyectada (Barra B)]]</f>
        <v>11.455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5.048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6.407</v>
      </c>
      <c r="P48" s="53">
        <f t="shared" si="0"/>
        <v>11.455</v>
      </c>
    </row>
    <row r="49" spans="1:16" x14ac:dyDescent="0.25">
      <c r="A49" s="106">
        <f t="shared" si="1"/>
        <v>45443.958333333445</v>
      </c>
      <c r="B49" s="51">
        <f t="shared" si="2"/>
        <v>0.95833333333333393</v>
      </c>
      <c r="C49" s="1">
        <f>'Plantilla Datos'!K55</f>
        <v>10.3</v>
      </c>
      <c r="F49" s="107">
        <f>(Table2[[#This Row],[Fecha]]+2)</f>
        <v>45445.958333333445</v>
      </c>
      <c r="G49" s="52">
        <f>Table2[[#This Row],[Hora]]</f>
        <v>0.95833333333333393</v>
      </c>
      <c r="H49" s="53">
        <f>VLOOKUP(Table1[[#This Row],[Fecha]],TBL_CalcDarwin[],42,1)</f>
        <v>7.2230000000000008</v>
      </c>
      <c r="I49" s="53">
        <f>VLOOKUP(Table1[[#This Row],[Fecha]],TBL_CalcDarwin[],43,1)</f>
        <v>9.3109999999999999</v>
      </c>
      <c r="J49" s="73">
        <f>VLOOKUP(Table1[[#This Row],[Fecha]],TBL_CalcDarwin[],40,1)</f>
        <v>17</v>
      </c>
      <c r="K49" s="73">
        <f>VLOOKUP(Table1[[#This Row],[Fecha]],TBL_CalcDarwin[],41,1)</f>
        <v>18</v>
      </c>
      <c r="L49" s="53">
        <f>Table1[[#This Row],[MW Proyectada (Barra A)]]+Table1[[#This Row],[MW Proyectada (Barra B)]]</f>
        <v>16.533999999999999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7.2230000000000008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9.3109999999999999</v>
      </c>
      <c r="P49" s="53">
        <f t="shared" si="0"/>
        <v>16.533999999999999</v>
      </c>
    </row>
    <row r="50" spans="1:16" x14ac:dyDescent="0.25">
      <c r="A50" s="106">
        <f t="shared" si="1"/>
        <v>45443.979166666781</v>
      </c>
      <c r="B50" s="51">
        <f t="shared" si="2"/>
        <v>0.9791666666666673</v>
      </c>
      <c r="C50" s="1">
        <f>'Plantilla Datos'!K56</f>
        <v>11.3</v>
      </c>
      <c r="F50" s="107">
        <f>(Table2[[#This Row],[Fecha]]+2)</f>
        <v>45445.979166666781</v>
      </c>
      <c r="G50" s="52">
        <f>Table2[[#This Row],[Hora]]</f>
        <v>0.9791666666666673</v>
      </c>
      <c r="H50" s="53">
        <f>VLOOKUP(Table1[[#This Row],[Fecha]],TBL_CalcDarwin[],42,1)</f>
        <v>7.2230000000000008</v>
      </c>
      <c r="I50" s="53">
        <f>VLOOKUP(Table1[[#This Row],[Fecha]],TBL_CalcDarwin[],43,1)</f>
        <v>9.3109999999999999</v>
      </c>
      <c r="J50" s="73">
        <f>VLOOKUP(Table1[[#This Row],[Fecha]],TBL_CalcDarwin[],40,1)</f>
        <v>17</v>
      </c>
      <c r="K50" s="73">
        <f>VLOOKUP(Table1[[#This Row],[Fecha]],TBL_CalcDarwin[],41,1)</f>
        <v>18</v>
      </c>
      <c r="L50" s="53">
        <f>Table1[[#This Row],[MW Proyectada (Barra A)]]+Table1[[#This Row],[MW Proyectada (Barra B)]]</f>
        <v>16.533999999999999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7.2230000000000008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9.3109999999999999</v>
      </c>
      <c r="P50" s="53">
        <f t="shared" si="0"/>
        <v>16.533999999999999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opLeftCell="C1" zoomScale="80" zoomScaleNormal="80" workbookViewId="0">
      <selection activeCell="T8" sqref="T8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39" t="str">
        <f>"DATA DE VIENTO EJECUTADO CE PUNTA LOMITAS EXPANSIÓN "&amp;UPPER(TEXT(A3,"DDDD dd mmmm"))</f>
        <v>DATA DE VIENTO EJECUTADO CE PUNTA LOMITAS EXPANSIÓN VIERNES 31 MAYO</v>
      </c>
      <c r="B1" s="139"/>
      <c r="C1" s="139"/>
      <c r="F1" s="139" t="str">
        <f>"GENERACIÓN PROYECTADA CE PUNTA LOMITAS EXPANSIÓN, POR BARRA Y # AEG E/S "&amp;UPPER(TEXT(F3,"DDDD dd mmmm"))</f>
        <v>GENERACIÓN PROYECTADA CE PUNTA LOMITAS EXPANSIÓN, POR BARRA Y # AEG E/S DOMINGO 02 JUNIO</v>
      </c>
      <c r="G1" s="139"/>
      <c r="H1" s="139"/>
      <c r="I1" s="139"/>
      <c r="J1" s="139"/>
      <c r="K1" s="139"/>
      <c r="L1" s="139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6">
        <f>ROUND('Plantilla Datos'!E3,5)</f>
        <v>45443</v>
      </c>
      <c r="B3" s="51">
        <v>0</v>
      </c>
      <c r="C3" s="1">
        <f>'Plantilla Datos'!K9</f>
        <v>10.9</v>
      </c>
      <c r="F3" s="107">
        <f>(Table29[[#This Row],[Fecha]]+2)</f>
        <v>45445</v>
      </c>
      <c r="G3" s="52">
        <f>Table29[[#This Row],[Hora]]</f>
        <v>0</v>
      </c>
      <c r="H3" s="53">
        <f>VLOOKUP(Table18[[#This Row],[Fecha]],TBL_CalcDarwin[],46,1)</f>
        <v>0.87</v>
      </c>
      <c r="I3" s="53">
        <f>VLOOKUP(Table18[[#This Row],[Fecha]],TBL_CalcDarwin[],47,1)</f>
        <v>0.73199999999999998</v>
      </c>
      <c r="J3" s="73">
        <f>VLOOKUP(Table18[[#This Row],[Fecha]],TBL_CalcDarwin[],44,1)</f>
        <v>3</v>
      </c>
      <c r="K3" s="73">
        <f>VLOOKUP(Table18[[#This Row],[Fecha]],TBL_CalcDarwin[],45,1)</f>
        <v>3</v>
      </c>
      <c r="L3" s="53">
        <f>Table18[[#This Row],[MW Proyectada (Barra A)]]+Table18[[#This Row],[MW Proyectada (Barra B)]]</f>
        <v>1.6019999999999999</v>
      </c>
    </row>
    <row r="4" spans="1:12" x14ac:dyDescent="0.25">
      <c r="A4" s="106">
        <f>A3+TIME(0,30,0)</f>
        <v>45443.020833333336</v>
      </c>
      <c r="B4" s="51">
        <f>B3+TIME(0,30,0)</f>
        <v>2.0833333333333332E-2</v>
      </c>
      <c r="C4" s="1">
        <f>'Plantilla Datos'!K10</f>
        <v>7.4</v>
      </c>
      <c r="F4" s="107">
        <f>(Table29[[#This Row],[Fecha]]+2)</f>
        <v>45445.020833333336</v>
      </c>
      <c r="G4" s="52">
        <f>Table29[[#This Row],[Hora]]</f>
        <v>2.0833333333333332E-2</v>
      </c>
      <c r="H4" s="53">
        <f>VLOOKUP(Table18[[#This Row],[Fecha]],TBL_CalcDarwin[],46,1)</f>
        <v>0.87</v>
      </c>
      <c r="I4" s="53">
        <f>VLOOKUP(Table18[[#This Row],[Fecha]],TBL_CalcDarwin[],47,1)</f>
        <v>0.73199999999999998</v>
      </c>
      <c r="J4" s="73">
        <f>VLOOKUP(Table18[[#This Row],[Fecha]],TBL_CalcDarwin[],44,1)</f>
        <v>3</v>
      </c>
      <c r="K4" s="73">
        <f>VLOOKUP(Table18[[#This Row],[Fecha]],TBL_CalcDarwin[],45,1)</f>
        <v>3</v>
      </c>
      <c r="L4" s="53">
        <f>Table18[[#This Row],[MW Proyectada (Barra A)]]+Table18[[#This Row],[MW Proyectada (Barra B)]]</f>
        <v>1.6019999999999999</v>
      </c>
    </row>
    <row r="5" spans="1:12" x14ac:dyDescent="0.25">
      <c r="A5" s="106">
        <f t="shared" ref="A5:B20" si="0">A4+TIME(0,30,0)</f>
        <v>45443.041666666672</v>
      </c>
      <c r="B5" s="51">
        <f t="shared" si="0"/>
        <v>4.1666666666666664E-2</v>
      </c>
      <c r="C5" s="1">
        <f>'Plantilla Datos'!K11</f>
        <v>8.9</v>
      </c>
      <c r="F5" s="107">
        <f>(Table29[[#This Row],[Fecha]]+2)</f>
        <v>45445.041666666672</v>
      </c>
      <c r="G5" s="52">
        <f>Table29[[#This Row],[Hora]]</f>
        <v>4.1666666666666664E-2</v>
      </c>
      <c r="H5" s="53">
        <f>VLOOKUP(Table18[[#This Row],[Fecha]],TBL_CalcDarwin[],46,1)</f>
        <v>0.504</v>
      </c>
      <c r="I5" s="53">
        <f>VLOOKUP(Table18[[#This Row],[Fecha]],TBL_CalcDarwin[],47,1)</f>
        <v>0.39</v>
      </c>
      <c r="J5" s="73">
        <f>VLOOKUP(Table18[[#This Row],[Fecha]],TBL_CalcDarwin[],44,1)</f>
        <v>3</v>
      </c>
      <c r="K5" s="73">
        <f>VLOOKUP(Table18[[#This Row],[Fecha]],TBL_CalcDarwin[],45,1)</f>
        <v>3</v>
      </c>
      <c r="L5" s="53">
        <f>Table18[[#This Row],[MW Proyectada (Barra A)]]+Table18[[#This Row],[MW Proyectada (Barra B)]]</f>
        <v>0.89400000000000002</v>
      </c>
    </row>
    <row r="6" spans="1:12" x14ac:dyDescent="0.25">
      <c r="A6" s="106">
        <f t="shared" si="0"/>
        <v>45443.062500000007</v>
      </c>
      <c r="B6" s="51">
        <f t="shared" si="0"/>
        <v>6.25E-2</v>
      </c>
      <c r="C6" s="1">
        <f>'Plantilla Datos'!K12</f>
        <v>6</v>
      </c>
      <c r="F6" s="107">
        <f>(Table29[[#This Row],[Fecha]]+2)</f>
        <v>45445.062500000007</v>
      </c>
      <c r="G6" s="52">
        <f>Table29[[#This Row],[Hora]]</f>
        <v>6.25E-2</v>
      </c>
      <c r="H6" s="53">
        <f>VLOOKUP(Table18[[#This Row],[Fecha]],TBL_CalcDarwin[],46,1)</f>
        <v>0.504</v>
      </c>
      <c r="I6" s="53">
        <f>VLOOKUP(Table18[[#This Row],[Fecha]],TBL_CalcDarwin[],47,1)</f>
        <v>0.39</v>
      </c>
      <c r="J6" s="73">
        <f>VLOOKUP(Table18[[#This Row],[Fecha]],TBL_CalcDarwin[],44,1)</f>
        <v>3</v>
      </c>
      <c r="K6" s="73">
        <f>VLOOKUP(Table18[[#This Row],[Fecha]],TBL_CalcDarwin[],45,1)</f>
        <v>3</v>
      </c>
      <c r="L6" s="53">
        <f>Table18[[#This Row],[MW Proyectada (Barra A)]]+Table18[[#This Row],[MW Proyectada (Barra B)]]</f>
        <v>0.89400000000000002</v>
      </c>
    </row>
    <row r="7" spans="1:12" x14ac:dyDescent="0.25">
      <c r="A7" s="106">
        <f t="shared" si="0"/>
        <v>45443.083333333343</v>
      </c>
      <c r="B7" s="51">
        <f t="shared" si="0"/>
        <v>8.3333333333333329E-2</v>
      </c>
      <c r="C7" s="1">
        <f>'Plantilla Datos'!K13</f>
        <v>7.3</v>
      </c>
      <c r="F7" s="107">
        <f>(Table29[[#This Row],[Fecha]]+2)</f>
        <v>45445.083333333343</v>
      </c>
      <c r="G7" s="52">
        <f>Table29[[#This Row],[Hora]]</f>
        <v>8.3333333333333329E-2</v>
      </c>
      <c r="H7" s="53">
        <f>VLOOKUP(Table18[[#This Row],[Fecha]],TBL_CalcDarwin[],46,1)</f>
        <v>0.24</v>
      </c>
      <c r="I7" s="53">
        <f>VLOOKUP(Table18[[#This Row],[Fecha]],TBL_CalcDarwin[],47,1)</f>
        <v>0.16500000000000001</v>
      </c>
      <c r="J7" s="73">
        <f>VLOOKUP(Table18[[#This Row],[Fecha]],TBL_CalcDarwin[],44,1)</f>
        <v>3</v>
      </c>
      <c r="K7" s="73">
        <f>VLOOKUP(Table18[[#This Row],[Fecha]],TBL_CalcDarwin[],45,1)</f>
        <v>3</v>
      </c>
      <c r="L7" s="53">
        <f>Table18[[#This Row],[MW Proyectada (Barra A)]]+Table18[[#This Row],[MW Proyectada (Barra B)]]</f>
        <v>0.40500000000000003</v>
      </c>
    </row>
    <row r="8" spans="1:12" x14ac:dyDescent="0.25">
      <c r="A8" s="106">
        <f t="shared" si="0"/>
        <v>45443.104166666679</v>
      </c>
      <c r="B8" s="51">
        <f t="shared" si="0"/>
        <v>0.10416666666666666</v>
      </c>
      <c r="C8" s="1">
        <f>'Plantilla Datos'!K14</f>
        <v>5.4</v>
      </c>
      <c r="F8" s="107">
        <f>(Table29[[#This Row],[Fecha]]+2)</f>
        <v>45445.104166666679</v>
      </c>
      <c r="G8" s="52">
        <f>Table29[[#This Row],[Hora]]</f>
        <v>0.10416666666666666</v>
      </c>
      <c r="H8" s="53">
        <f>VLOOKUP(Table18[[#This Row],[Fecha]],TBL_CalcDarwin[],46,1)</f>
        <v>0.24</v>
      </c>
      <c r="I8" s="53">
        <f>VLOOKUP(Table18[[#This Row],[Fecha]],TBL_CalcDarwin[],47,1)</f>
        <v>0.16500000000000001</v>
      </c>
      <c r="J8" s="73">
        <f>VLOOKUP(Table18[[#This Row],[Fecha]],TBL_CalcDarwin[],44,1)</f>
        <v>3</v>
      </c>
      <c r="K8" s="73">
        <f>VLOOKUP(Table18[[#This Row],[Fecha]],TBL_CalcDarwin[],45,1)</f>
        <v>3</v>
      </c>
      <c r="L8" s="53">
        <f>Table18[[#This Row],[MW Proyectada (Barra A)]]+Table18[[#This Row],[MW Proyectada (Barra B)]]</f>
        <v>0.40500000000000003</v>
      </c>
    </row>
    <row r="9" spans="1:12" x14ac:dyDescent="0.25">
      <c r="A9" s="106">
        <f t="shared" si="0"/>
        <v>45443.125000000015</v>
      </c>
      <c r="B9" s="51">
        <f t="shared" si="0"/>
        <v>0.12499999999999999</v>
      </c>
      <c r="C9" s="1">
        <f>'Plantilla Datos'!K15</f>
        <v>5.2</v>
      </c>
      <c r="F9" s="107">
        <f>(Table29[[#This Row],[Fecha]]+2)</f>
        <v>45445.125000000015</v>
      </c>
      <c r="G9" s="52">
        <f>Table29[[#This Row],[Hora]]</f>
        <v>0.12499999999999999</v>
      </c>
      <c r="H9" s="53">
        <f>VLOOKUP(Table18[[#This Row],[Fecha]],TBL_CalcDarwin[],46,1)</f>
        <v>5.5E-2</v>
      </c>
      <c r="I9" s="53">
        <f>VLOOKUP(Table18[[#This Row],[Fecha]],TBL_CalcDarwin[],47,1)</f>
        <v>0</v>
      </c>
      <c r="J9" s="73">
        <f>VLOOKUP(Table18[[#This Row],[Fecha]],TBL_CalcDarwin[],44,1)</f>
        <v>3</v>
      </c>
      <c r="K9" s="73">
        <f>VLOOKUP(Table18[[#This Row],[Fecha]],TBL_CalcDarwin[],45,1)</f>
        <v>3</v>
      </c>
      <c r="L9" s="53">
        <f>Table18[[#This Row],[MW Proyectada (Barra A)]]+Table18[[#This Row],[MW Proyectada (Barra B)]]</f>
        <v>5.5E-2</v>
      </c>
    </row>
    <row r="10" spans="1:12" x14ac:dyDescent="0.25">
      <c r="A10" s="106">
        <f t="shared" si="0"/>
        <v>45443.14583333335</v>
      </c>
      <c r="B10" s="51">
        <f t="shared" si="0"/>
        <v>0.14583333333333331</v>
      </c>
      <c r="C10" s="1">
        <f>'Plantilla Datos'!K16</f>
        <v>8.8000000000000007</v>
      </c>
      <c r="F10" s="107">
        <f>(Table29[[#This Row],[Fecha]]+2)</f>
        <v>45445.14583333335</v>
      </c>
      <c r="G10" s="52">
        <f>Table29[[#This Row],[Hora]]</f>
        <v>0.14583333333333331</v>
      </c>
      <c r="H10" s="53">
        <f>VLOOKUP(Table18[[#This Row],[Fecha]],TBL_CalcDarwin[],46,1)</f>
        <v>5.5E-2</v>
      </c>
      <c r="I10" s="53">
        <f>VLOOKUP(Table18[[#This Row],[Fecha]],TBL_CalcDarwin[],47,1)</f>
        <v>0</v>
      </c>
      <c r="J10" s="73">
        <f>VLOOKUP(Table18[[#This Row],[Fecha]],TBL_CalcDarwin[],44,1)</f>
        <v>3</v>
      </c>
      <c r="K10" s="73">
        <f>VLOOKUP(Table18[[#This Row],[Fecha]],TBL_CalcDarwin[],45,1)</f>
        <v>3</v>
      </c>
      <c r="L10" s="53">
        <f>Table18[[#This Row],[MW Proyectada (Barra A)]]+Table18[[#This Row],[MW Proyectada (Barra B)]]</f>
        <v>5.5E-2</v>
      </c>
    </row>
    <row r="11" spans="1:12" x14ac:dyDescent="0.25">
      <c r="A11" s="106">
        <f t="shared" si="0"/>
        <v>45443.166666666686</v>
      </c>
      <c r="B11" s="51">
        <f t="shared" si="0"/>
        <v>0.16666666666666666</v>
      </c>
      <c r="C11" s="1">
        <f>'Plantilla Datos'!K17</f>
        <v>11.3</v>
      </c>
      <c r="F11" s="107">
        <f>(Table29[[#This Row],[Fecha]]+2)</f>
        <v>45445.166666666686</v>
      </c>
      <c r="G11" s="52">
        <f>Table29[[#This Row],[Hora]]</f>
        <v>0.16666666666666666</v>
      </c>
      <c r="H11" s="53">
        <f>VLOOKUP(Table18[[#This Row],[Fecha]],TBL_CalcDarwin[],46,1)</f>
        <v>0</v>
      </c>
      <c r="I11" s="53">
        <f>VLOOKUP(Table18[[#This Row],[Fecha]],TBL_CalcDarwin[],47,1)</f>
        <v>0</v>
      </c>
      <c r="J11" s="73">
        <f>VLOOKUP(Table18[[#This Row],[Fecha]],TBL_CalcDarwin[],44,1)</f>
        <v>3</v>
      </c>
      <c r="K11" s="73">
        <f>VLOOKUP(Table18[[#This Row],[Fecha]],TBL_CalcDarwin[],45,1)</f>
        <v>3</v>
      </c>
      <c r="L11" s="53">
        <f>Table18[[#This Row],[MW Proyectada (Barra A)]]+Table18[[#This Row],[MW Proyectada (Barra B)]]</f>
        <v>0</v>
      </c>
    </row>
    <row r="12" spans="1:12" x14ac:dyDescent="0.25">
      <c r="A12" s="106">
        <f t="shared" si="0"/>
        <v>45443.187500000022</v>
      </c>
      <c r="B12" s="51">
        <f t="shared" si="0"/>
        <v>0.1875</v>
      </c>
      <c r="C12" s="1">
        <f>'Plantilla Datos'!K18</f>
        <v>9.6</v>
      </c>
      <c r="F12" s="107">
        <f>(Table29[[#This Row],[Fecha]]+2)</f>
        <v>45445.187500000022</v>
      </c>
      <c r="G12" s="52">
        <f>Table29[[#This Row],[Hora]]</f>
        <v>0.1875</v>
      </c>
      <c r="H12" s="53">
        <f>VLOOKUP(Table18[[#This Row],[Fecha]],TBL_CalcDarwin[],46,1)</f>
        <v>0</v>
      </c>
      <c r="I12" s="53">
        <f>VLOOKUP(Table18[[#This Row],[Fecha]],TBL_CalcDarwin[],47,1)</f>
        <v>0</v>
      </c>
      <c r="J12" s="73">
        <f>VLOOKUP(Table18[[#This Row],[Fecha]],TBL_CalcDarwin[],44,1)</f>
        <v>3</v>
      </c>
      <c r="K12" s="73">
        <f>VLOOKUP(Table18[[#This Row],[Fecha]],TBL_CalcDarwin[],45,1)</f>
        <v>3</v>
      </c>
      <c r="L12" s="53">
        <f>Table18[[#This Row],[MW Proyectada (Barra A)]]+Table18[[#This Row],[MW Proyectada (Barra B)]]</f>
        <v>0</v>
      </c>
    </row>
    <row r="13" spans="1:12" x14ac:dyDescent="0.25">
      <c r="A13" s="106">
        <f t="shared" si="0"/>
        <v>45443.208333333358</v>
      </c>
      <c r="B13" s="51">
        <f t="shared" si="0"/>
        <v>0.20833333333333334</v>
      </c>
      <c r="C13" s="1">
        <f>'Plantilla Datos'!K19</f>
        <v>10.4</v>
      </c>
      <c r="F13" s="107">
        <f>(Table29[[#This Row],[Fecha]]+2)</f>
        <v>45445.208333333358</v>
      </c>
      <c r="G13" s="52">
        <f>Table29[[#This Row],[Hora]]</f>
        <v>0.20833333333333334</v>
      </c>
      <c r="H13" s="53">
        <f>VLOOKUP(Table18[[#This Row],[Fecha]],TBL_CalcDarwin[],46,1)</f>
        <v>0</v>
      </c>
      <c r="I13" s="53">
        <f>VLOOKUP(Table18[[#This Row],[Fecha]],TBL_CalcDarwin[],47,1)</f>
        <v>0</v>
      </c>
      <c r="J13" s="73">
        <f>VLOOKUP(Table18[[#This Row],[Fecha]],TBL_CalcDarwin[],44,1)</f>
        <v>3</v>
      </c>
      <c r="K13" s="73">
        <f>VLOOKUP(Table18[[#This Row],[Fecha]],TBL_CalcDarwin[],45,1)</f>
        <v>3</v>
      </c>
      <c r="L13" s="53">
        <f>Table18[[#This Row],[MW Proyectada (Barra A)]]+Table18[[#This Row],[MW Proyectada (Barra B)]]</f>
        <v>0</v>
      </c>
    </row>
    <row r="14" spans="1:12" x14ac:dyDescent="0.25">
      <c r="A14" s="106">
        <f t="shared" si="0"/>
        <v>45443.229166666693</v>
      </c>
      <c r="B14" s="51">
        <f t="shared" si="0"/>
        <v>0.22916666666666669</v>
      </c>
      <c r="C14" s="1">
        <f>'Plantilla Datos'!K20</f>
        <v>8.6</v>
      </c>
      <c r="F14" s="107">
        <f>(Table29[[#This Row],[Fecha]]+2)</f>
        <v>45445.229166666693</v>
      </c>
      <c r="G14" s="52">
        <f>Table29[[#This Row],[Hora]]</f>
        <v>0.22916666666666669</v>
      </c>
      <c r="H14" s="53">
        <f>VLOOKUP(Table18[[#This Row],[Fecha]],TBL_CalcDarwin[],46,1)</f>
        <v>0</v>
      </c>
      <c r="I14" s="53">
        <f>VLOOKUP(Table18[[#This Row],[Fecha]],TBL_CalcDarwin[],47,1)</f>
        <v>0</v>
      </c>
      <c r="J14" s="73">
        <f>VLOOKUP(Table18[[#This Row],[Fecha]],TBL_CalcDarwin[],44,1)</f>
        <v>3</v>
      </c>
      <c r="K14" s="73">
        <f>VLOOKUP(Table18[[#This Row],[Fecha]],TBL_CalcDarwin[],45,1)</f>
        <v>3</v>
      </c>
      <c r="L14" s="53">
        <f>Table18[[#This Row],[MW Proyectada (Barra A)]]+Table18[[#This Row],[MW Proyectada (Barra B)]]</f>
        <v>0</v>
      </c>
    </row>
    <row r="15" spans="1:12" x14ac:dyDescent="0.25">
      <c r="A15" s="106">
        <f t="shared" si="0"/>
        <v>45443.250000000029</v>
      </c>
      <c r="B15" s="51">
        <f t="shared" si="0"/>
        <v>0.25</v>
      </c>
      <c r="C15" s="1">
        <f>'Plantilla Datos'!K21</f>
        <v>7.6</v>
      </c>
      <c r="F15" s="107">
        <f>(Table29[[#This Row],[Fecha]]+2)</f>
        <v>45445.250000000029</v>
      </c>
      <c r="G15" s="52">
        <f>Table29[[#This Row],[Hora]]</f>
        <v>0.25</v>
      </c>
      <c r="H15" s="53">
        <f>VLOOKUP(Table18[[#This Row],[Fecha]],TBL_CalcDarwin[],46,1)</f>
        <v>0</v>
      </c>
      <c r="I15" s="53">
        <f>VLOOKUP(Table18[[#This Row],[Fecha]],TBL_CalcDarwin[],47,1)</f>
        <v>0</v>
      </c>
      <c r="J15" s="73">
        <f>VLOOKUP(Table18[[#This Row],[Fecha]],TBL_CalcDarwin[],44,1)</f>
        <v>3</v>
      </c>
      <c r="K15" s="73">
        <f>VLOOKUP(Table18[[#This Row],[Fecha]],TBL_CalcDarwin[],45,1)</f>
        <v>3</v>
      </c>
      <c r="L15" s="53">
        <f>Table18[[#This Row],[MW Proyectada (Barra A)]]+Table18[[#This Row],[MW Proyectada (Barra B)]]</f>
        <v>0</v>
      </c>
    </row>
    <row r="16" spans="1:12" x14ac:dyDescent="0.25">
      <c r="A16" s="106">
        <f t="shared" si="0"/>
        <v>45443.270833333365</v>
      </c>
      <c r="B16" s="51">
        <f t="shared" si="0"/>
        <v>0.27083333333333331</v>
      </c>
      <c r="C16" s="1">
        <f>'Plantilla Datos'!K22</f>
        <v>8.8000000000000007</v>
      </c>
      <c r="F16" s="107">
        <f>(Table29[[#This Row],[Fecha]]+2)</f>
        <v>45445.270833333365</v>
      </c>
      <c r="G16" s="52">
        <f>Table29[[#This Row],[Hora]]</f>
        <v>0.27083333333333331</v>
      </c>
      <c r="H16" s="53">
        <f>VLOOKUP(Table18[[#This Row],[Fecha]],TBL_CalcDarwin[],46,1)</f>
        <v>0</v>
      </c>
      <c r="I16" s="53">
        <f>VLOOKUP(Table18[[#This Row],[Fecha]],TBL_CalcDarwin[],47,1)</f>
        <v>0</v>
      </c>
      <c r="J16" s="73">
        <f>VLOOKUP(Table18[[#This Row],[Fecha]],TBL_CalcDarwin[],44,1)</f>
        <v>3</v>
      </c>
      <c r="K16" s="73">
        <f>VLOOKUP(Table18[[#This Row],[Fecha]],TBL_CalcDarwin[],45,1)</f>
        <v>3</v>
      </c>
      <c r="L16" s="53">
        <f>Table18[[#This Row],[MW Proyectada (Barra A)]]+Table18[[#This Row],[MW Proyectada (Barra B)]]</f>
        <v>0</v>
      </c>
    </row>
    <row r="17" spans="1:12" x14ac:dyDescent="0.25">
      <c r="A17" s="106">
        <f t="shared" si="0"/>
        <v>45443.291666666701</v>
      </c>
      <c r="B17" s="51">
        <f t="shared" si="0"/>
        <v>0.29166666666666663</v>
      </c>
      <c r="C17" s="1">
        <f>'Plantilla Datos'!K23</f>
        <v>7.1</v>
      </c>
      <c r="F17" s="107">
        <f>(Table29[[#This Row],[Fecha]]+2)</f>
        <v>45445.291666666701</v>
      </c>
      <c r="G17" s="52">
        <f>Table29[[#This Row],[Hora]]</f>
        <v>0.29166666666666663</v>
      </c>
      <c r="H17" s="53">
        <f>VLOOKUP(Table18[[#This Row],[Fecha]],TBL_CalcDarwin[],46,1)</f>
        <v>0</v>
      </c>
      <c r="I17" s="53">
        <f>VLOOKUP(Table18[[#This Row],[Fecha]],TBL_CalcDarwin[],47,1)</f>
        <v>0</v>
      </c>
      <c r="J17" s="73">
        <f>VLOOKUP(Table18[[#This Row],[Fecha]],TBL_CalcDarwin[],44,1)</f>
        <v>3</v>
      </c>
      <c r="K17" s="73">
        <f>VLOOKUP(Table18[[#This Row],[Fecha]],TBL_CalcDarwin[],45,1)</f>
        <v>3</v>
      </c>
      <c r="L17" s="53">
        <f>Table18[[#This Row],[MW Proyectada (Barra A)]]+Table18[[#This Row],[MW Proyectada (Barra B)]]</f>
        <v>0</v>
      </c>
    </row>
    <row r="18" spans="1:12" x14ac:dyDescent="0.25">
      <c r="A18" s="106">
        <f t="shared" si="0"/>
        <v>45443.312500000036</v>
      </c>
      <c r="B18" s="51">
        <f t="shared" si="0"/>
        <v>0.31249999999999994</v>
      </c>
      <c r="C18" s="1">
        <f>'Plantilla Datos'!K24</f>
        <v>7.1</v>
      </c>
      <c r="F18" s="107">
        <f>(Table29[[#This Row],[Fecha]]+2)</f>
        <v>45445.312500000036</v>
      </c>
      <c r="G18" s="52">
        <f>Table29[[#This Row],[Hora]]</f>
        <v>0.31249999999999994</v>
      </c>
      <c r="H18" s="53">
        <f>VLOOKUP(Table18[[#This Row],[Fecha]],TBL_CalcDarwin[],46,1)</f>
        <v>0</v>
      </c>
      <c r="I18" s="53">
        <f>VLOOKUP(Table18[[#This Row],[Fecha]],TBL_CalcDarwin[],47,1)</f>
        <v>0</v>
      </c>
      <c r="J18" s="73">
        <f>VLOOKUP(Table18[[#This Row],[Fecha]],TBL_CalcDarwin[],44,1)</f>
        <v>3</v>
      </c>
      <c r="K18" s="73">
        <f>VLOOKUP(Table18[[#This Row],[Fecha]],TBL_CalcDarwin[],45,1)</f>
        <v>3</v>
      </c>
      <c r="L18" s="53">
        <f>Table18[[#This Row],[MW Proyectada (Barra A)]]+Table18[[#This Row],[MW Proyectada (Barra B)]]</f>
        <v>0</v>
      </c>
    </row>
    <row r="19" spans="1:12" x14ac:dyDescent="0.25">
      <c r="A19" s="106">
        <f t="shared" si="0"/>
        <v>45443.333333333372</v>
      </c>
      <c r="B19" s="51">
        <f t="shared" si="0"/>
        <v>0.33333333333333326</v>
      </c>
      <c r="C19" s="1">
        <f>'Plantilla Datos'!K25</f>
        <v>6.6</v>
      </c>
      <c r="F19" s="107">
        <f>(Table29[[#This Row],[Fecha]]+2)</f>
        <v>45445.333333333372</v>
      </c>
      <c r="G19" s="52">
        <f>Table29[[#This Row],[Hora]]</f>
        <v>0.33333333333333326</v>
      </c>
      <c r="H19" s="53">
        <f>VLOOKUP(Table18[[#This Row],[Fecha]],TBL_CalcDarwin[],46,1)</f>
        <v>0</v>
      </c>
      <c r="I19" s="53">
        <f>VLOOKUP(Table18[[#This Row],[Fecha]],TBL_CalcDarwin[],47,1)</f>
        <v>0</v>
      </c>
      <c r="J19" s="73">
        <f>VLOOKUP(Table18[[#This Row],[Fecha]],TBL_CalcDarwin[],44,1)</f>
        <v>3</v>
      </c>
      <c r="K19" s="73">
        <f>VLOOKUP(Table18[[#This Row],[Fecha]],TBL_CalcDarwin[],45,1)</f>
        <v>3</v>
      </c>
      <c r="L19" s="53">
        <f>Table18[[#This Row],[MW Proyectada (Barra A)]]+Table18[[#This Row],[MW Proyectada (Barra B)]]</f>
        <v>0</v>
      </c>
    </row>
    <row r="20" spans="1:12" x14ac:dyDescent="0.25">
      <c r="A20" s="106">
        <f t="shared" si="0"/>
        <v>45443.354166666708</v>
      </c>
      <c r="B20" s="51">
        <f t="shared" si="0"/>
        <v>0.35416666666666657</v>
      </c>
      <c r="C20" s="1">
        <f>'Plantilla Datos'!K26</f>
        <v>5.2</v>
      </c>
      <c r="F20" s="107">
        <f>(Table29[[#This Row],[Fecha]]+2)</f>
        <v>45445.354166666708</v>
      </c>
      <c r="G20" s="52">
        <f>Table29[[#This Row],[Hora]]</f>
        <v>0.35416666666666657</v>
      </c>
      <c r="H20" s="53">
        <f>VLOOKUP(Table18[[#This Row],[Fecha]],TBL_CalcDarwin[],46,1)</f>
        <v>0</v>
      </c>
      <c r="I20" s="53">
        <f>VLOOKUP(Table18[[#This Row],[Fecha]],TBL_CalcDarwin[],47,1)</f>
        <v>0</v>
      </c>
      <c r="J20" s="73">
        <f>VLOOKUP(Table18[[#This Row],[Fecha]],TBL_CalcDarwin[],44,1)</f>
        <v>3</v>
      </c>
      <c r="K20" s="73">
        <f>VLOOKUP(Table18[[#This Row],[Fecha]],TBL_CalcDarwin[],45,1)</f>
        <v>3</v>
      </c>
      <c r="L20" s="53">
        <f>Table18[[#This Row],[MW Proyectada (Barra A)]]+Table18[[#This Row],[MW Proyectada (Barra B)]]</f>
        <v>0</v>
      </c>
    </row>
    <row r="21" spans="1:12" x14ac:dyDescent="0.25">
      <c r="A21" s="106">
        <f t="shared" ref="A21:B36" si="1">A20+TIME(0,30,0)</f>
        <v>45443.375000000044</v>
      </c>
      <c r="B21" s="51">
        <f t="shared" si="1"/>
        <v>0.37499999999999989</v>
      </c>
      <c r="C21" s="1">
        <f>'Plantilla Datos'!K27</f>
        <v>6.6</v>
      </c>
      <c r="F21" s="107">
        <f>(Table29[[#This Row],[Fecha]]+2)</f>
        <v>45445.375000000044</v>
      </c>
      <c r="G21" s="52">
        <f>Table29[[#This Row],[Hora]]</f>
        <v>0.37499999999999989</v>
      </c>
      <c r="H21" s="53">
        <f>VLOOKUP(Table18[[#This Row],[Fecha]],TBL_CalcDarwin[],46,1)</f>
        <v>0.24</v>
      </c>
      <c r="I21" s="53">
        <f>VLOOKUP(Table18[[#This Row],[Fecha]],TBL_CalcDarwin[],47,1)</f>
        <v>0.16500000000000001</v>
      </c>
      <c r="J21" s="73">
        <f>VLOOKUP(Table18[[#This Row],[Fecha]],TBL_CalcDarwin[],44,1)</f>
        <v>3</v>
      </c>
      <c r="K21" s="73">
        <f>VLOOKUP(Table18[[#This Row],[Fecha]],TBL_CalcDarwin[],45,1)</f>
        <v>3</v>
      </c>
      <c r="L21" s="53">
        <f>Table18[[#This Row],[MW Proyectada (Barra A)]]+Table18[[#This Row],[MW Proyectada (Barra B)]]</f>
        <v>0.40500000000000003</v>
      </c>
    </row>
    <row r="22" spans="1:12" x14ac:dyDescent="0.25">
      <c r="A22" s="106">
        <f t="shared" si="1"/>
        <v>45443.395833333379</v>
      </c>
      <c r="B22" s="51">
        <f t="shared" si="1"/>
        <v>0.3958333333333332</v>
      </c>
      <c r="C22" s="1">
        <f>'Plantilla Datos'!K28</f>
        <v>8.1</v>
      </c>
      <c r="F22" s="107">
        <f>(Table29[[#This Row],[Fecha]]+2)</f>
        <v>45445.395833333379</v>
      </c>
      <c r="G22" s="52">
        <f>Table29[[#This Row],[Hora]]</f>
        <v>0.3958333333333332</v>
      </c>
      <c r="H22" s="53">
        <f>VLOOKUP(Table18[[#This Row],[Fecha]],TBL_CalcDarwin[],46,1)</f>
        <v>0.24</v>
      </c>
      <c r="I22" s="53">
        <f>VLOOKUP(Table18[[#This Row],[Fecha]],TBL_CalcDarwin[],47,1)</f>
        <v>0.16500000000000001</v>
      </c>
      <c r="J22" s="73">
        <f>VLOOKUP(Table18[[#This Row],[Fecha]],TBL_CalcDarwin[],44,1)</f>
        <v>3</v>
      </c>
      <c r="K22" s="73">
        <f>VLOOKUP(Table18[[#This Row],[Fecha]],TBL_CalcDarwin[],45,1)</f>
        <v>3</v>
      </c>
      <c r="L22" s="53">
        <f>Table18[[#This Row],[MW Proyectada (Barra A)]]+Table18[[#This Row],[MW Proyectada (Barra B)]]</f>
        <v>0.40500000000000003</v>
      </c>
    </row>
    <row r="23" spans="1:12" x14ac:dyDescent="0.25">
      <c r="A23" s="106">
        <f t="shared" si="1"/>
        <v>45443.416666666715</v>
      </c>
      <c r="B23" s="51">
        <f t="shared" si="1"/>
        <v>0.41666666666666652</v>
      </c>
      <c r="C23" s="1">
        <f>'Plantilla Datos'!K29</f>
        <v>7.8</v>
      </c>
      <c r="F23" s="107">
        <f>(Table29[[#This Row],[Fecha]]+2)</f>
        <v>45445.416666666715</v>
      </c>
      <c r="G23" s="52">
        <f>Table29[[#This Row],[Hora]]</f>
        <v>0.41666666666666652</v>
      </c>
      <c r="H23" s="53">
        <f>VLOOKUP(Table18[[#This Row],[Fecha]],TBL_CalcDarwin[],46,1)</f>
        <v>0.504</v>
      </c>
      <c r="I23" s="53">
        <f>VLOOKUP(Table18[[#This Row],[Fecha]],TBL_CalcDarwin[],47,1)</f>
        <v>0.39</v>
      </c>
      <c r="J23" s="73">
        <f>VLOOKUP(Table18[[#This Row],[Fecha]],TBL_CalcDarwin[],44,1)</f>
        <v>3</v>
      </c>
      <c r="K23" s="73">
        <f>VLOOKUP(Table18[[#This Row],[Fecha]],TBL_CalcDarwin[],45,1)</f>
        <v>3</v>
      </c>
      <c r="L23" s="53">
        <f>Table18[[#This Row],[MW Proyectada (Barra A)]]+Table18[[#This Row],[MW Proyectada (Barra B)]]</f>
        <v>0.89400000000000002</v>
      </c>
    </row>
    <row r="24" spans="1:12" x14ac:dyDescent="0.25">
      <c r="A24" s="106">
        <f t="shared" si="1"/>
        <v>45443.437500000051</v>
      </c>
      <c r="B24" s="51">
        <f t="shared" si="1"/>
        <v>0.43749999999999983</v>
      </c>
      <c r="C24" s="1">
        <f>'Plantilla Datos'!K30</f>
        <v>7.1</v>
      </c>
      <c r="F24" s="107">
        <f>(Table29[[#This Row],[Fecha]]+2)</f>
        <v>45445.437500000051</v>
      </c>
      <c r="G24" s="52">
        <f>Table29[[#This Row],[Hora]]</f>
        <v>0.43749999999999983</v>
      </c>
      <c r="H24" s="53">
        <f>VLOOKUP(Table18[[#This Row],[Fecha]],TBL_CalcDarwin[],46,1)</f>
        <v>0.504</v>
      </c>
      <c r="I24" s="53">
        <f>VLOOKUP(Table18[[#This Row],[Fecha]],TBL_CalcDarwin[],47,1)</f>
        <v>0.39</v>
      </c>
      <c r="J24" s="73">
        <f>VLOOKUP(Table18[[#This Row],[Fecha]],TBL_CalcDarwin[],44,1)</f>
        <v>3</v>
      </c>
      <c r="K24" s="73">
        <f>VLOOKUP(Table18[[#This Row],[Fecha]],TBL_CalcDarwin[],45,1)</f>
        <v>3</v>
      </c>
      <c r="L24" s="53">
        <f>Table18[[#This Row],[MW Proyectada (Barra A)]]+Table18[[#This Row],[MW Proyectada (Barra B)]]</f>
        <v>0.89400000000000002</v>
      </c>
    </row>
    <row r="25" spans="1:12" x14ac:dyDescent="0.25">
      <c r="A25" s="106">
        <f t="shared" si="1"/>
        <v>45443.458333333387</v>
      </c>
      <c r="B25" s="51">
        <f t="shared" si="1"/>
        <v>0.45833333333333315</v>
      </c>
      <c r="C25" s="1">
        <f>'Plantilla Datos'!K31</f>
        <v>11.4</v>
      </c>
      <c r="F25" s="107">
        <f>(Table29[[#This Row],[Fecha]]+2)</f>
        <v>45445.458333333387</v>
      </c>
      <c r="G25" s="52">
        <f>Table29[[#This Row],[Hora]]</f>
        <v>0.45833333333333315</v>
      </c>
      <c r="H25" s="53">
        <f>VLOOKUP(Table18[[#This Row],[Fecha]],TBL_CalcDarwin[],46,1)</f>
        <v>0.87</v>
      </c>
      <c r="I25" s="53">
        <f>VLOOKUP(Table18[[#This Row],[Fecha]],TBL_CalcDarwin[],47,1)</f>
        <v>0.73199999999999998</v>
      </c>
      <c r="J25" s="73">
        <f>VLOOKUP(Table18[[#This Row],[Fecha]],TBL_CalcDarwin[],44,1)</f>
        <v>3</v>
      </c>
      <c r="K25" s="73">
        <f>VLOOKUP(Table18[[#This Row],[Fecha]],TBL_CalcDarwin[],45,1)</f>
        <v>3</v>
      </c>
      <c r="L25" s="53">
        <f>Table18[[#This Row],[MW Proyectada (Barra A)]]+Table18[[#This Row],[MW Proyectada (Barra B)]]</f>
        <v>1.6019999999999999</v>
      </c>
    </row>
    <row r="26" spans="1:12" x14ac:dyDescent="0.25">
      <c r="A26" s="106">
        <f t="shared" si="1"/>
        <v>45443.479166666722</v>
      </c>
      <c r="B26" s="51">
        <f t="shared" si="1"/>
        <v>0.47916666666666646</v>
      </c>
      <c r="C26" s="1">
        <f>'Plantilla Datos'!K32</f>
        <v>12.3</v>
      </c>
      <c r="F26" s="107">
        <f>(Table29[[#This Row],[Fecha]]+2)</f>
        <v>45445.479166666722</v>
      </c>
      <c r="G26" s="52">
        <f>Table29[[#This Row],[Hora]]</f>
        <v>0.47916666666666646</v>
      </c>
      <c r="H26" s="53">
        <f>VLOOKUP(Table18[[#This Row],[Fecha]],TBL_CalcDarwin[],46,1)</f>
        <v>0.87</v>
      </c>
      <c r="I26" s="53">
        <f>VLOOKUP(Table18[[#This Row],[Fecha]],TBL_CalcDarwin[],47,1)</f>
        <v>0.73199999999999998</v>
      </c>
      <c r="J26" s="73">
        <f>VLOOKUP(Table18[[#This Row],[Fecha]],TBL_CalcDarwin[],44,1)</f>
        <v>3</v>
      </c>
      <c r="K26" s="73">
        <f>VLOOKUP(Table18[[#This Row],[Fecha]],TBL_CalcDarwin[],45,1)</f>
        <v>3</v>
      </c>
      <c r="L26" s="53">
        <f>Table18[[#This Row],[MW Proyectada (Barra A)]]+Table18[[#This Row],[MW Proyectada (Barra B)]]</f>
        <v>1.6019999999999999</v>
      </c>
    </row>
    <row r="27" spans="1:12" x14ac:dyDescent="0.25">
      <c r="A27" s="106">
        <f t="shared" si="1"/>
        <v>45443.500000000058</v>
      </c>
      <c r="B27" s="51">
        <f t="shared" si="1"/>
        <v>0.49999999999999978</v>
      </c>
      <c r="C27" s="1">
        <f>'Plantilla Datos'!K33</f>
        <v>10.6</v>
      </c>
      <c r="F27" s="107">
        <f>(Table29[[#This Row],[Fecha]]+2)</f>
        <v>45445.500000000058</v>
      </c>
      <c r="G27" s="52">
        <f>Table29[[#This Row],[Hora]]</f>
        <v>0.49999999999999978</v>
      </c>
      <c r="H27" s="53">
        <f>VLOOKUP(Table18[[#This Row],[Fecha]],TBL_CalcDarwin[],46,1)</f>
        <v>1.3109999999999999</v>
      </c>
      <c r="I27" s="53">
        <f>VLOOKUP(Table18[[#This Row],[Fecha]],TBL_CalcDarwin[],47,1)</f>
        <v>1.1459999999999999</v>
      </c>
      <c r="J27" s="73">
        <f>VLOOKUP(Table18[[#This Row],[Fecha]],TBL_CalcDarwin[],44,1)</f>
        <v>3</v>
      </c>
      <c r="K27" s="73">
        <f>VLOOKUP(Table18[[#This Row],[Fecha]],TBL_CalcDarwin[],45,1)</f>
        <v>3</v>
      </c>
      <c r="L27" s="53">
        <f>Table18[[#This Row],[MW Proyectada (Barra A)]]+Table18[[#This Row],[MW Proyectada (Barra B)]]</f>
        <v>2.4569999999999999</v>
      </c>
    </row>
    <row r="28" spans="1:12" x14ac:dyDescent="0.25">
      <c r="A28" s="106">
        <f t="shared" si="1"/>
        <v>45443.520833333394</v>
      </c>
      <c r="B28" s="51">
        <f t="shared" si="1"/>
        <v>0.52083333333333315</v>
      </c>
      <c r="C28" s="1">
        <f>'Plantilla Datos'!K34</f>
        <v>11.7</v>
      </c>
      <c r="F28" s="107">
        <f>(Table29[[#This Row],[Fecha]]+2)</f>
        <v>45445.520833333394</v>
      </c>
      <c r="G28" s="52">
        <f>Table29[[#This Row],[Hora]]</f>
        <v>0.52083333333333315</v>
      </c>
      <c r="H28" s="53">
        <f>VLOOKUP(Table18[[#This Row],[Fecha]],TBL_CalcDarwin[],46,1)</f>
        <v>1.3109999999999999</v>
      </c>
      <c r="I28" s="53">
        <f>VLOOKUP(Table18[[#This Row],[Fecha]],TBL_CalcDarwin[],47,1)</f>
        <v>1.1459999999999999</v>
      </c>
      <c r="J28" s="73">
        <f>VLOOKUP(Table18[[#This Row],[Fecha]],TBL_CalcDarwin[],44,1)</f>
        <v>3</v>
      </c>
      <c r="K28" s="73">
        <f>VLOOKUP(Table18[[#This Row],[Fecha]],TBL_CalcDarwin[],45,1)</f>
        <v>3</v>
      </c>
      <c r="L28" s="53">
        <f>Table18[[#This Row],[MW Proyectada (Barra A)]]+Table18[[#This Row],[MW Proyectada (Barra B)]]</f>
        <v>2.4569999999999999</v>
      </c>
    </row>
    <row r="29" spans="1:12" x14ac:dyDescent="0.25">
      <c r="A29" s="106">
        <f t="shared" si="1"/>
        <v>45443.54166666673</v>
      </c>
      <c r="B29" s="51">
        <f t="shared" si="1"/>
        <v>0.54166666666666652</v>
      </c>
      <c r="C29" s="1">
        <f>'Plantilla Datos'!K35</f>
        <v>11.5</v>
      </c>
      <c r="F29" s="107">
        <f>(Table29[[#This Row],[Fecha]]+2)</f>
        <v>45445.54166666673</v>
      </c>
      <c r="G29" s="52">
        <f>Table29[[#This Row],[Hora]]</f>
        <v>0.54166666666666652</v>
      </c>
      <c r="H29" s="53">
        <f>VLOOKUP(Table18[[#This Row],[Fecha]],TBL_CalcDarwin[],46,1)</f>
        <v>1.839</v>
      </c>
      <c r="I29" s="53">
        <f>VLOOKUP(Table18[[#This Row],[Fecha]],TBL_CalcDarwin[],47,1)</f>
        <v>1.641</v>
      </c>
      <c r="J29" s="73">
        <f>VLOOKUP(Table18[[#This Row],[Fecha]],TBL_CalcDarwin[],44,1)</f>
        <v>3</v>
      </c>
      <c r="K29" s="73">
        <f>VLOOKUP(Table18[[#This Row],[Fecha]],TBL_CalcDarwin[],45,1)</f>
        <v>3</v>
      </c>
      <c r="L29" s="53">
        <f>Table18[[#This Row],[MW Proyectada (Barra A)]]+Table18[[#This Row],[MW Proyectada (Barra B)]]</f>
        <v>3.48</v>
      </c>
    </row>
    <row r="30" spans="1:12" x14ac:dyDescent="0.25">
      <c r="A30" s="106">
        <f t="shared" si="1"/>
        <v>45443.562500000065</v>
      </c>
      <c r="B30" s="51">
        <f t="shared" si="1"/>
        <v>0.56249999999999989</v>
      </c>
      <c r="C30" s="1">
        <f>'Plantilla Datos'!K36</f>
        <v>10.1</v>
      </c>
      <c r="F30" s="107">
        <f>(Table29[[#This Row],[Fecha]]+2)</f>
        <v>45445.562500000065</v>
      </c>
      <c r="G30" s="52">
        <f>Table29[[#This Row],[Hora]]</f>
        <v>0.56249999999999989</v>
      </c>
      <c r="H30" s="53">
        <f>VLOOKUP(Table18[[#This Row],[Fecha]],TBL_CalcDarwin[],46,1)</f>
        <v>1.839</v>
      </c>
      <c r="I30" s="53">
        <f>VLOOKUP(Table18[[#This Row],[Fecha]],TBL_CalcDarwin[],47,1)</f>
        <v>1.641</v>
      </c>
      <c r="J30" s="73">
        <f>VLOOKUP(Table18[[#This Row],[Fecha]],TBL_CalcDarwin[],44,1)</f>
        <v>3</v>
      </c>
      <c r="K30" s="73">
        <f>VLOOKUP(Table18[[#This Row],[Fecha]],TBL_CalcDarwin[],45,1)</f>
        <v>3</v>
      </c>
      <c r="L30" s="53">
        <f>Table18[[#This Row],[MW Proyectada (Barra A)]]+Table18[[#This Row],[MW Proyectada (Barra B)]]</f>
        <v>3.48</v>
      </c>
    </row>
    <row r="31" spans="1:12" x14ac:dyDescent="0.25">
      <c r="A31" s="106">
        <f t="shared" si="1"/>
        <v>45443.583333333401</v>
      </c>
      <c r="B31" s="51">
        <f t="shared" si="1"/>
        <v>0.58333333333333326</v>
      </c>
      <c r="C31" s="1">
        <f>'Plantilla Datos'!K37</f>
        <v>9.1999999999999993</v>
      </c>
      <c r="F31" s="107">
        <f>(Table29[[#This Row],[Fecha]]+2)</f>
        <v>45445.583333333401</v>
      </c>
      <c r="G31" s="52">
        <f>Table29[[#This Row],[Hora]]</f>
        <v>0.58333333333333326</v>
      </c>
      <c r="H31" s="53">
        <f>VLOOKUP(Table18[[#This Row],[Fecha]],TBL_CalcDarwin[],46,1)</f>
        <v>1.839</v>
      </c>
      <c r="I31" s="53">
        <f>VLOOKUP(Table18[[#This Row],[Fecha]],TBL_CalcDarwin[],47,1)</f>
        <v>1.641</v>
      </c>
      <c r="J31" s="73">
        <f>VLOOKUP(Table18[[#This Row],[Fecha]],TBL_CalcDarwin[],44,1)</f>
        <v>3</v>
      </c>
      <c r="K31" s="73">
        <f>VLOOKUP(Table18[[#This Row],[Fecha]],TBL_CalcDarwin[],45,1)</f>
        <v>3</v>
      </c>
      <c r="L31" s="53">
        <f>Table18[[#This Row],[MW Proyectada (Barra A)]]+Table18[[#This Row],[MW Proyectada (Barra B)]]</f>
        <v>3.48</v>
      </c>
    </row>
    <row r="32" spans="1:12" x14ac:dyDescent="0.25">
      <c r="A32" s="106">
        <f t="shared" si="1"/>
        <v>45443.604166666737</v>
      </c>
      <c r="B32" s="51">
        <f t="shared" si="1"/>
        <v>0.60416666666666663</v>
      </c>
      <c r="C32" s="1">
        <f>'Plantilla Datos'!K38</f>
        <v>10</v>
      </c>
      <c r="F32" s="107">
        <f>(Table29[[#This Row],[Fecha]]+2)</f>
        <v>45445.604166666737</v>
      </c>
      <c r="G32" s="52">
        <f>Table29[[#This Row],[Hora]]</f>
        <v>0.60416666666666663</v>
      </c>
      <c r="H32" s="53">
        <f>VLOOKUP(Table18[[#This Row],[Fecha]],TBL_CalcDarwin[],46,1)</f>
        <v>1.839</v>
      </c>
      <c r="I32" s="53">
        <f>VLOOKUP(Table18[[#This Row],[Fecha]],TBL_CalcDarwin[],47,1)</f>
        <v>1.641</v>
      </c>
      <c r="J32" s="73">
        <f>VLOOKUP(Table18[[#This Row],[Fecha]],TBL_CalcDarwin[],44,1)</f>
        <v>3</v>
      </c>
      <c r="K32" s="73">
        <f>VLOOKUP(Table18[[#This Row],[Fecha]],TBL_CalcDarwin[],45,1)</f>
        <v>3</v>
      </c>
      <c r="L32" s="53">
        <f>Table18[[#This Row],[MW Proyectada (Barra A)]]+Table18[[#This Row],[MW Proyectada (Barra B)]]</f>
        <v>3.48</v>
      </c>
    </row>
    <row r="33" spans="1:12" x14ac:dyDescent="0.25">
      <c r="A33" s="106">
        <f t="shared" si="1"/>
        <v>45443.625000000073</v>
      </c>
      <c r="B33" s="51">
        <f t="shared" si="1"/>
        <v>0.625</v>
      </c>
      <c r="C33" s="1">
        <f>'Plantilla Datos'!K39</f>
        <v>12.4</v>
      </c>
      <c r="F33" s="107">
        <f>(Table29[[#This Row],[Fecha]]+2)</f>
        <v>45445.625000000073</v>
      </c>
      <c r="G33" s="52">
        <f>Table29[[#This Row],[Hora]]</f>
        <v>0.625</v>
      </c>
      <c r="H33" s="53">
        <f>VLOOKUP(Table18[[#This Row],[Fecha]],TBL_CalcDarwin[],46,1)</f>
        <v>1.839</v>
      </c>
      <c r="I33" s="53">
        <f>VLOOKUP(Table18[[#This Row],[Fecha]],TBL_CalcDarwin[],47,1)</f>
        <v>1.641</v>
      </c>
      <c r="J33" s="73">
        <f>VLOOKUP(Table18[[#This Row],[Fecha]],TBL_CalcDarwin[],44,1)</f>
        <v>3</v>
      </c>
      <c r="K33" s="73">
        <f>VLOOKUP(Table18[[#This Row],[Fecha]],TBL_CalcDarwin[],45,1)</f>
        <v>3</v>
      </c>
      <c r="L33" s="53">
        <f>Table18[[#This Row],[MW Proyectada (Barra A)]]+Table18[[#This Row],[MW Proyectada (Barra B)]]</f>
        <v>3.48</v>
      </c>
    </row>
    <row r="34" spans="1:12" x14ac:dyDescent="0.25">
      <c r="A34" s="106">
        <f t="shared" si="1"/>
        <v>45443.645833333409</v>
      </c>
      <c r="B34" s="51">
        <f t="shared" si="1"/>
        <v>0.64583333333333337</v>
      </c>
      <c r="C34" s="1">
        <f>'Plantilla Datos'!K40</f>
        <v>12.1</v>
      </c>
      <c r="F34" s="107">
        <f>(Table29[[#This Row],[Fecha]]+2)</f>
        <v>45445.645833333409</v>
      </c>
      <c r="G34" s="52">
        <f>Table29[[#This Row],[Hora]]</f>
        <v>0.64583333333333337</v>
      </c>
      <c r="H34" s="53">
        <f>VLOOKUP(Table18[[#This Row],[Fecha]],TBL_CalcDarwin[],46,1)</f>
        <v>1.839</v>
      </c>
      <c r="I34" s="53">
        <f>VLOOKUP(Table18[[#This Row],[Fecha]],TBL_CalcDarwin[],47,1)</f>
        <v>1.641</v>
      </c>
      <c r="J34" s="73">
        <f>VLOOKUP(Table18[[#This Row],[Fecha]],TBL_CalcDarwin[],44,1)</f>
        <v>3</v>
      </c>
      <c r="K34" s="73">
        <f>VLOOKUP(Table18[[#This Row],[Fecha]],TBL_CalcDarwin[],45,1)</f>
        <v>3</v>
      </c>
      <c r="L34" s="53">
        <f>Table18[[#This Row],[MW Proyectada (Barra A)]]+Table18[[#This Row],[MW Proyectada (Barra B)]]</f>
        <v>3.48</v>
      </c>
    </row>
    <row r="35" spans="1:12" x14ac:dyDescent="0.25">
      <c r="A35" s="106">
        <f t="shared" si="1"/>
        <v>45443.666666666744</v>
      </c>
      <c r="B35" s="51">
        <f t="shared" si="1"/>
        <v>0.66666666666666674</v>
      </c>
      <c r="C35" s="1">
        <f>'Plantilla Datos'!K41</f>
        <v>8.3000000000000007</v>
      </c>
      <c r="F35" s="107">
        <f>(Table29[[#This Row],[Fecha]]+2)</f>
        <v>45445.666666666744</v>
      </c>
      <c r="G35" s="52">
        <f>Table29[[#This Row],[Hora]]</f>
        <v>0.66666666666666674</v>
      </c>
      <c r="H35" s="53">
        <f>VLOOKUP(Table18[[#This Row],[Fecha]],TBL_CalcDarwin[],46,1)</f>
        <v>1.839</v>
      </c>
      <c r="I35" s="53">
        <f>VLOOKUP(Table18[[#This Row],[Fecha]],TBL_CalcDarwin[],47,1)</f>
        <v>1.641</v>
      </c>
      <c r="J35" s="73">
        <f>VLOOKUP(Table18[[#This Row],[Fecha]],TBL_CalcDarwin[],44,1)</f>
        <v>3</v>
      </c>
      <c r="K35" s="73">
        <f>VLOOKUP(Table18[[#This Row],[Fecha]],TBL_CalcDarwin[],45,1)</f>
        <v>3</v>
      </c>
      <c r="L35" s="53">
        <f>Table18[[#This Row],[MW Proyectada (Barra A)]]+Table18[[#This Row],[MW Proyectada (Barra B)]]</f>
        <v>3.48</v>
      </c>
    </row>
    <row r="36" spans="1:12" x14ac:dyDescent="0.25">
      <c r="A36" s="106">
        <f t="shared" si="1"/>
        <v>45443.68750000008</v>
      </c>
      <c r="B36" s="51">
        <f t="shared" si="1"/>
        <v>0.68750000000000011</v>
      </c>
      <c r="C36" s="1">
        <f>'Plantilla Datos'!K42</f>
        <v>12.7</v>
      </c>
      <c r="F36" s="107">
        <f>(Table29[[#This Row],[Fecha]]+2)</f>
        <v>45445.68750000008</v>
      </c>
      <c r="G36" s="52">
        <f>Table29[[#This Row],[Hora]]</f>
        <v>0.68750000000000011</v>
      </c>
      <c r="H36" s="53">
        <f>VLOOKUP(Table18[[#This Row],[Fecha]],TBL_CalcDarwin[],46,1)</f>
        <v>1.839</v>
      </c>
      <c r="I36" s="53">
        <f>VLOOKUP(Table18[[#This Row],[Fecha]],TBL_CalcDarwin[],47,1)</f>
        <v>1.641</v>
      </c>
      <c r="J36" s="73">
        <f>VLOOKUP(Table18[[#This Row],[Fecha]],TBL_CalcDarwin[],44,1)</f>
        <v>3</v>
      </c>
      <c r="K36" s="73">
        <f>VLOOKUP(Table18[[#This Row],[Fecha]],TBL_CalcDarwin[],45,1)</f>
        <v>3</v>
      </c>
      <c r="L36" s="53">
        <f>Table18[[#This Row],[MW Proyectada (Barra A)]]+Table18[[#This Row],[MW Proyectada (Barra B)]]</f>
        <v>3.48</v>
      </c>
    </row>
    <row r="37" spans="1:12" x14ac:dyDescent="0.25">
      <c r="A37" s="106">
        <f t="shared" ref="A37:B50" si="2">A36+TIME(0,30,0)</f>
        <v>45443.708333333416</v>
      </c>
      <c r="B37" s="51">
        <f t="shared" si="2"/>
        <v>0.70833333333333348</v>
      </c>
      <c r="C37" s="1">
        <f>'Plantilla Datos'!K43</f>
        <v>10.199999999999999</v>
      </c>
      <c r="F37" s="107">
        <f>(Table29[[#This Row],[Fecha]]+2)</f>
        <v>45445.708333333416</v>
      </c>
      <c r="G37" s="52">
        <f>Table29[[#This Row],[Hora]]</f>
        <v>0.70833333333333348</v>
      </c>
      <c r="H37" s="53">
        <f>VLOOKUP(Table18[[#This Row],[Fecha]],TBL_CalcDarwin[],46,1)</f>
        <v>1.3109999999999999</v>
      </c>
      <c r="I37" s="53">
        <f>VLOOKUP(Table18[[#This Row],[Fecha]],TBL_CalcDarwin[],47,1)</f>
        <v>1.1459999999999999</v>
      </c>
      <c r="J37" s="73">
        <f>VLOOKUP(Table18[[#This Row],[Fecha]],TBL_CalcDarwin[],44,1)</f>
        <v>3</v>
      </c>
      <c r="K37" s="73">
        <f>VLOOKUP(Table18[[#This Row],[Fecha]],TBL_CalcDarwin[],45,1)</f>
        <v>3</v>
      </c>
      <c r="L37" s="53">
        <f>Table18[[#This Row],[MW Proyectada (Barra A)]]+Table18[[#This Row],[MW Proyectada (Barra B)]]</f>
        <v>2.4569999999999999</v>
      </c>
    </row>
    <row r="38" spans="1:12" x14ac:dyDescent="0.25">
      <c r="A38" s="106">
        <f t="shared" si="2"/>
        <v>45443.729166666752</v>
      </c>
      <c r="B38" s="51">
        <f t="shared" si="2"/>
        <v>0.72916666666666685</v>
      </c>
      <c r="C38" s="1">
        <f>'Plantilla Datos'!K44</f>
        <v>13.4</v>
      </c>
      <c r="F38" s="107">
        <f>(Table29[[#This Row],[Fecha]]+2)</f>
        <v>45445.729166666752</v>
      </c>
      <c r="G38" s="52">
        <f>Table29[[#This Row],[Hora]]</f>
        <v>0.72916666666666685</v>
      </c>
      <c r="H38" s="53">
        <f>VLOOKUP(Table18[[#This Row],[Fecha]],TBL_CalcDarwin[],46,1)</f>
        <v>1.3109999999999999</v>
      </c>
      <c r="I38" s="53">
        <f>VLOOKUP(Table18[[#This Row],[Fecha]],TBL_CalcDarwin[],47,1)</f>
        <v>1.1459999999999999</v>
      </c>
      <c r="J38" s="73">
        <f>VLOOKUP(Table18[[#This Row],[Fecha]],TBL_CalcDarwin[],44,1)</f>
        <v>3</v>
      </c>
      <c r="K38" s="73">
        <f>VLOOKUP(Table18[[#This Row],[Fecha]],TBL_CalcDarwin[],45,1)</f>
        <v>3</v>
      </c>
      <c r="L38" s="53">
        <f>Table18[[#This Row],[MW Proyectada (Barra A)]]+Table18[[#This Row],[MW Proyectada (Barra B)]]</f>
        <v>2.4569999999999999</v>
      </c>
    </row>
    <row r="39" spans="1:12" x14ac:dyDescent="0.25">
      <c r="A39" s="106">
        <f t="shared" si="2"/>
        <v>45443.750000000087</v>
      </c>
      <c r="B39" s="51">
        <f t="shared" si="2"/>
        <v>0.75000000000000022</v>
      </c>
      <c r="C39" s="1">
        <f>'Plantilla Datos'!K45</f>
        <v>12.5</v>
      </c>
      <c r="F39" s="107">
        <f>(Table29[[#This Row],[Fecha]]+2)</f>
        <v>45445.750000000087</v>
      </c>
      <c r="G39" s="52">
        <f>Table29[[#This Row],[Hora]]</f>
        <v>0.75000000000000022</v>
      </c>
      <c r="H39" s="53">
        <f>VLOOKUP(Table18[[#This Row],[Fecha]],TBL_CalcDarwin[],46,1)</f>
        <v>0.87</v>
      </c>
      <c r="I39" s="53">
        <f>VLOOKUP(Table18[[#This Row],[Fecha]],TBL_CalcDarwin[],47,1)</f>
        <v>0.73199999999999998</v>
      </c>
      <c r="J39" s="73">
        <f>VLOOKUP(Table18[[#This Row],[Fecha]],TBL_CalcDarwin[],44,1)</f>
        <v>3</v>
      </c>
      <c r="K39" s="73">
        <f>VLOOKUP(Table18[[#This Row],[Fecha]],TBL_CalcDarwin[],45,1)</f>
        <v>3</v>
      </c>
      <c r="L39" s="53">
        <f>Table18[[#This Row],[MW Proyectada (Barra A)]]+Table18[[#This Row],[MW Proyectada (Barra B)]]</f>
        <v>1.6019999999999999</v>
      </c>
    </row>
    <row r="40" spans="1:12" x14ac:dyDescent="0.25">
      <c r="A40" s="106">
        <f t="shared" si="2"/>
        <v>45443.770833333423</v>
      </c>
      <c r="B40" s="51">
        <f t="shared" si="2"/>
        <v>0.77083333333333359</v>
      </c>
      <c r="C40" s="1">
        <f>'Plantilla Datos'!K46</f>
        <v>13</v>
      </c>
      <c r="F40" s="107">
        <f>(Table29[[#This Row],[Fecha]]+2)</f>
        <v>45445.770833333423</v>
      </c>
      <c r="G40" s="52">
        <f>Table29[[#This Row],[Hora]]</f>
        <v>0.77083333333333359</v>
      </c>
      <c r="H40" s="53">
        <f>VLOOKUP(Table18[[#This Row],[Fecha]],TBL_CalcDarwin[],46,1)</f>
        <v>0.87</v>
      </c>
      <c r="I40" s="53">
        <f>VLOOKUP(Table18[[#This Row],[Fecha]],TBL_CalcDarwin[],47,1)</f>
        <v>0.73199999999999998</v>
      </c>
      <c r="J40" s="73">
        <f>VLOOKUP(Table18[[#This Row],[Fecha]],TBL_CalcDarwin[],44,1)</f>
        <v>3</v>
      </c>
      <c r="K40" s="73">
        <f>VLOOKUP(Table18[[#This Row],[Fecha]],TBL_CalcDarwin[],45,1)</f>
        <v>3</v>
      </c>
      <c r="L40" s="53">
        <f>Table18[[#This Row],[MW Proyectada (Barra A)]]+Table18[[#This Row],[MW Proyectada (Barra B)]]</f>
        <v>1.6019999999999999</v>
      </c>
    </row>
    <row r="41" spans="1:12" x14ac:dyDescent="0.25">
      <c r="A41" s="106">
        <f t="shared" si="2"/>
        <v>45443.791666666759</v>
      </c>
      <c r="B41" s="51">
        <f t="shared" si="2"/>
        <v>0.79166666666666696</v>
      </c>
      <c r="C41" s="1">
        <f>'Plantilla Datos'!K47</f>
        <v>12.6</v>
      </c>
      <c r="F41" s="107">
        <f>(Table29[[#This Row],[Fecha]]+2)</f>
        <v>45445.791666666759</v>
      </c>
      <c r="G41" s="52">
        <f>Table29[[#This Row],[Hora]]</f>
        <v>0.79166666666666696</v>
      </c>
      <c r="H41" s="53">
        <f>VLOOKUP(Table18[[#This Row],[Fecha]],TBL_CalcDarwin[],46,1)</f>
        <v>0.504</v>
      </c>
      <c r="I41" s="53">
        <f>VLOOKUP(Table18[[#This Row],[Fecha]],TBL_CalcDarwin[],47,1)</f>
        <v>0.39</v>
      </c>
      <c r="J41" s="73">
        <f>VLOOKUP(Table18[[#This Row],[Fecha]],TBL_CalcDarwin[],44,1)</f>
        <v>3</v>
      </c>
      <c r="K41" s="73">
        <f>VLOOKUP(Table18[[#This Row],[Fecha]],TBL_CalcDarwin[],45,1)</f>
        <v>3</v>
      </c>
      <c r="L41" s="53">
        <f>Table18[[#This Row],[MW Proyectada (Barra A)]]+Table18[[#This Row],[MW Proyectada (Barra B)]]</f>
        <v>0.89400000000000002</v>
      </c>
    </row>
    <row r="42" spans="1:12" x14ac:dyDescent="0.25">
      <c r="A42" s="106">
        <f t="shared" si="2"/>
        <v>45443.812500000095</v>
      </c>
      <c r="B42" s="51">
        <f t="shared" si="2"/>
        <v>0.81250000000000033</v>
      </c>
      <c r="C42" s="1">
        <f>'Plantilla Datos'!K48</f>
        <v>13.7</v>
      </c>
      <c r="F42" s="107">
        <f>(Table29[[#This Row],[Fecha]]+2)</f>
        <v>45445.812500000095</v>
      </c>
      <c r="G42" s="52">
        <f>Table29[[#This Row],[Hora]]</f>
        <v>0.81250000000000033</v>
      </c>
      <c r="H42" s="53">
        <f>VLOOKUP(Table18[[#This Row],[Fecha]],TBL_CalcDarwin[],46,1)</f>
        <v>0.504</v>
      </c>
      <c r="I42" s="53">
        <f>VLOOKUP(Table18[[#This Row],[Fecha]],TBL_CalcDarwin[],47,1)</f>
        <v>0.39</v>
      </c>
      <c r="J42" s="73">
        <f>VLOOKUP(Table18[[#This Row],[Fecha]],TBL_CalcDarwin[],44,1)</f>
        <v>3</v>
      </c>
      <c r="K42" s="73">
        <f>VLOOKUP(Table18[[#This Row],[Fecha]],TBL_CalcDarwin[],45,1)</f>
        <v>3</v>
      </c>
      <c r="L42" s="53">
        <f>Table18[[#This Row],[MW Proyectada (Barra A)]]+Table18[[#This Row],[MW Proyectada (Barra B)]]</f>
        <v>0.89400000000000002</v>
      </c>
    </row>
    <row r="43" spans="1:12" x14ac:dyDescent="0.25">
      <c r="A43" s="106">
        <f t="shared" si="2"/>
        <v>45443.83333333343</v>
      </c>
      <c r="B43" s="51">
        <f t="shared" si="2"/>
        <v>0.8333333333333337</v>
      </c>
      <c r="C43" s="1">
        <f>'Plantilla Datos'!K49</f>
        <v>15.4</v>
      </c>
      <c r="F43" s="107">
        <f>(Table29[[#This Row],[Fecha]]+2)</f>
        <v>45445.83333333343</v>
      </c>
      <c r="G43" s="52">
        <f>Table29[[#This Row],[Hora]]</f>
        <v>0.8333333333333337</v>
      </c>
      <c r="H43" s="53">
        <f>VLOOKUP(Table18[[#This Row],[Fecha]],TBL_CalcDarwin[],46,1)</f>
        <v>0.504</v>
      </c>
      <c r="I43" s="53">
        <f>VLOOKUP(Table18[[#This Row],[Fecha]],TBL_CalcDarwin[],47,1)</f>
        <v>0.39</v>
      </c>
      <c r="J43" s="73">
        <f>VLOOKUP(Table18[[#This Row],[Fecha]],TBL_CalcDarwin[],44,1)</f>
        <v>3</v>
      </c>
      <c r="K43" s="73">
        <f>VLOOKUP(Table18[[#This Row],[Fecha]],TBL_CalcDarwin[],45,1)</f>
        <v>3</v>
      </c>
      <c r="L43" s="53">
        <f>Table18[[#This Row],[MW Proyectada (Barra A)]]+Table18[[#This Row],[MW Proyectada (Barra B)]]</f>
        <v>0.89400000000000002</v>
      </c>
    </row>
    <row r="44" spans="1:12" x14ac:dyDescent="0.25">
      <c r="A44" s="106">
        <f t="shared" si="2"/>
        <v>45443.854166666766</v>
      </c>
      <c r="B44" s="51">
        <f t="shared" si="2"/>
        <v>0.85416666666666707</v>
      </c>
      <c r="C44" s="1">
        <f>'Plantilla Datos'!K50</f>
        <v>13.2</v>
      </c>
      <c r="F44" s="107">
        <f>(Table29[[#This Row],[Fecha]]+2)</f>
        <v>45445.854166666766</v>
      </c>
      <c r="G44" s="52">
        <f>Table29[[#This Row],[Hora]]</f>
        <v>0.85416666666666707</v>
      </c>
      <c r="H44" s="53">
        <f>VLOOKUP(Table18[[#This Row],[Fecha]],TBL_CalcDarwin[],46,1)</f>
        <v>0.504</v>
      </c>
      <c r="I44" s="53">
        <f>VLOOKUP(Table18[[#This Row],[Fecha]],TBL_CalcDarwin[],47,1)</f>
        <v>0.39</v>
      </c>
      <c r="J44" s="73">
        <f>VLOOKUP(Table18[[#This Row],[Fecha]],TBL_CalcDarwin[],44,1)</f>
        <v>3</v>
      </c>
      <c r="K44" s="73">
        <f>VLOOKUP(Table18[[#This Row],[Fecha]],TBL_CalcDarwin[],45,1)</f>
        <v>3</v>
      </c>
      <c r="L44" s="53">
        <f>Table18[[#This Row],[MW Proyectada (Barra A)]]+Table18[[#This Row],[MW Proyectada (Barra B)]]</f>
        <v>0.89400000000000002</v>
      </c>
    </row>
    <row r="45" spans="1:12" x14ac:dyDescent="0.25">
      <c r="A45" s="106">
        <f t="shared" si="2"/>
        <v>45443.875000000102</v>
      </c>
      <c r="B45" s="51">
        <f t="shared" si="2"/>
        <v>0.87500000000000044</v>
      </c>
      <c r="C45" s="1">
        <f>'Plantilla Datos'!K51</f>
        <v>14.4</v>
      </c>
      <c r="F45" s="107">
        <f>(Table29[[#This Row],[Fecha]]+2)</f>
        <v>45445.875000000102</v>
      </c>
      <c r="G45" s="52">
        <f>Table29[[#This Row],[Hora]]</f>
        <v>0.87500000000000044</v>
      </c>
      <c r="H45" s="53">
        <f>VLOOKUP(Table18[[#This Row],[Fecha]],TBL_CalcDarwin[],46,1)</f>
        <v>0.504</v>
      </c>
      <c r="I45" s="53">
        <f>VLOOKUP(Table18[[#This Row],[Fecha]],TBL_CalcDarwin[],47,1)</f>
        <v>0.39</v>
      </c>
      <c r="J45" s="73">
        <f>VLOOKUP(Table18[[#This Row],[Fecha]],TBL_CalcDarwin[],44,1)</f>
        <v>3</v>
      </c>
      <c r="K45" s="73">
        <f>VLOOKUP(Table18[[#This Row],[Fecha]],TBL_CalcDarwin[],45,1)</f>
        <v>3</v>
      </c>
      <c r="L45" s="53">
        <f>Table18[[#This Row],[MW Proyectada (Barra A)]]+Table18[[#This Row],[MW Proyectada (Barra B)]]</f>
        <v>0.89400000000000002</v>
      </c>
    </row>
    <row r="46" spans="1:12" x14ac:dyDescent="0.25">
      <c r="A46" s="106">
        <f t="shared" si="2"/>
        <v>45443.895833333438</v>
      </c>
      <c r="B46" s="51">
        <f t="shared" si="2"/>
        <v>0.89583333333333381</v>
      </c>
      <c r="C46" s="1">
        <f>'Plantilla Datos'!K52</f>
        <v>11.3</v>
      </c>
      <c r="F46" s="107">
        <f>(Table29[[#This Row],[Fecha]]+2)</f>
        <v>45445.895833333438</v>
      </c>
      <c r="G46" s="52">
        <f>Table29[[#This Row],[Hora]]</f>
        <v>0.89583333333333381</v>
      </c>
      <c r="H46" s="53">
        <f>VLOOKUP(Table18[[#This Row],[Fecha]],TBL_CalcDarwin[],46,1)</f>
        <v>0.504</v>
      </c>
      <c r="I46" s="53">
        <f>VLOOKUP(Table18[[#This Row],[Fecha]],TBL_CalcDarwin[],47,1)</f>
        <v>0.39</v>
      </c>
      <c r="J46" s="73">
        <f>VLOOKUP(Table18[[#This Row],[Fecha]],TBL_CalcDarwin[],44,1)</f>
        <v>3</v>
      </c>
      <c r="K46" s="73">
        <f>VLOOKUP(Table18[[#This Row],[Fecha]],TBL_CalcDarwin[],45,1)</f>
        <v>3</v>
      </c>
      <c r="L46" s="53">
        <f>Table18[[#This Row],[MW Proyectada (Barra A)]]+Table18[[#This Row],[MW Proyectada (Barra B)]]</f>
        <v>0.89400000000000002</v>
      </c>
    </row>
    <row r="47" spans="1:12" x14ac:dyDescent="0.25">
      <c r="A47" s="106">
        <f t="shared" si="2"/>
        <v>45443.916666666773</v>
      </c>
      <c r="B47" s="51">
        <f t="shared" si="2"/>
        <v>0.91666666666666718</v>
      </c>
      <c r="C47" s="1">
        <f>'Plantilla Datos'!K53</f>
        <v>13.2</v>
      </c>
      <c r="F47" s="107">
        <f>(Table29[[#This Row],[Fecha]]+2)</f>
        <v>45445.916666666773</v>
      </c>
      <c r="G47" s="52">
        <f>Table29[[#This Row],[Hora]]</f>
        <v>0.91666666666666718</v>
      </c>
      <c r="H47" s="53">
        <f>VLOOKUP(Table18[[#This Row],[Fecha]],TBL_CalcDarwin[],46,1)</f>
        <v>0.504</v>
      </c>
      <c r="I47" s="53">
        <f>VLOOKUP(Table18[[#This Row],[Fecha]],TBL_CalcDarwin[],47,1)</f>
        <v>0.39</v>
      </c>
      <c r="J47" s="73">
        <f>VLOOKUP(Table18[[#This Row],[Fecha]],TBL_CalcDarwin[],44,1)</f>
        <v>3</v>
      </c>
      <c r="K47" s="73">
        <f>VLOOKUP(Table18[[#This Row],[Fecha]],TBL_CalcDarwin[],45,1)</f>
        <v>3</v>
      </c>
      <c r="L47" s="53">
        <f>Table18[[#This Row],[MW Proyectada (Barra A)]]+Table18[[#This Row],[MW Proyectada (Barra B)]]</f>
        <v>0.89400000000000002</v>
      </c>
    </row>
    <row r="48" spans="1:12" x14ac:dyDescent="0.25">
      <c r="A48" s="106">
        <f t="shared" si="2"/>
        <v>45443.937500000109</v>
      </c>
      <c r="B48" s="51">
        <f t="shared" si="2"/>
        <v>0.93750000000000056</v>
      </c>
      <c r="C48" s="1">
        <f>'Plantilla Datos'!K54</f>
        <v>12.4</v>
      </c>
      <c r="F48" s="107">
        <f>(Table29[[#This Row],[Fecha]]+2)</f>
        <v>45445.937500000109</v>
      </c>
      <c r="G48" s="52">
        <f>Table29[[#This Row],[Hora]]</f>
        <v>0.93750000000000056</v>
      </c>
      <c r="H48" s="53">
        <f>VLOOKUP(Table18[[#This Row],[Fecha]],TBL_CalcDarwin[],46,1)</f>
        <v>0.504</v>
      </c>
      <c r="I48" s="53">
        <f>VLOOKUP(Table18[[#This Row],[Fecha]],TBL_CalcDarwin[],47,1)</f>
        <v>0.39</v>
      </c>
      <c r="J48" s="73">
        <f>VLOOKUP(Table18[[#This Row],[Fecha]],TBL_CalcDarwin[],44,1)</f>
        <v>3</v>
      </c>
      <c r="K48" s="73">
        <f>VLOOKUP(Table18[[#This Row],[Fecha]],TBL_CalcDarwin[],45,1)</f>
        <v>3</v>
      </c>
      <c r="L48" s="53">
        <f>Table18[[#This Row],[MW Proyectada (Barra A)]]+Table18[[#This Row],[MW Proyectada (Barra B)]]</f>
        <v>0.89400000000000002</v>
      </c>
    </row>
    <row r="49" spans="1:12" x14ac:dyDescent="0.25">
      <c r="A49" s="106">
        <f t="shared" si="2"/>
        <v>45443.958333333445</v>
      </c>
      <c r="B49" s="51">
        <f t="shared" si="2"/>
        <v>0.95833333333333393</v>
      </c>
      <c r="C49" s="1">
        <f>'Plantilla Datos'!K55</f>
        <v>10.3</v>
      </c>
      <c r="F49" s="107">
        <f>(Table29[[#This Row],[Fecha]]+2)</f>
        <v>45445.958333333445</v>
      </c>
      <c r="G49" s="52">
        <f>Table29[[#This Row],[Hora]]</f>
        <v>0.95833333333333393</v>
      </c>
      <c r="H49" s="53">
        <f>VLOOKUP(Table18[[#This Row],[Fecha]],TBL_CalcDarwin[],46,1)</f>
        <v>0.64200000000000002</v>
      </c>
      <c r="I49" s="53">
        <f>VLOOKUP(Table18[[#This Row],[Fecha]],TBL_CalcDarwin[],47,1)</f>
        <v>0.39</v>
      </c>
      <c r="J49" s="73">
        <f>VLOOKUP(Table18[[#This Row],[Fecha]],TBL_CalcDarwin[],44,1)</f>
        <v>3</v>
      </c>
      <c r="K49" s="73">
        <f>VLOOKUP(Table18[[#This Row],[Fecha]],TBL_CalcDarwin[],45,1)</f>
        <v>3</v>
      </c>
      <c r="L49" s="53">
        <f>Table18[[#This Row],[MW Proyectada (Barra A)]]+Table18[[#This Row],[MW Proyectada (Barra B)]]</f>
        <v>1.032</v>
      </c>
    </row>
    <row r="50" spans="1:12" x14ac:dyDescent="0.25">
      <c r="A50" s="106">
        <f t="shared" si="2"/>
        <v>45443.979166666781</v>
      </c>
      <c r="B50" s="51">
        <f t="shared" si="2"/>
        <v>0.9791666666666673</v>
      </c>
      <c r="C50" s="1">
        <f>'Plantilla Datos'!K56</f>
        <v>11.3</v>
      </c>
      <c r="F50" s="107">
        <f>(Table29[[#This Row],[Fecha]]+2)</f>
        <v>45445.979166666781</v>
      </c>
      <c r="G50" s="52">
        <f>Table29[[#This Row],[Hora]]</f>
        <v>0.9791666666666673</v>
      </c>
      <c r="H50" s="53">
        <f>VLOOKUP(Table18[[#This Row],[Fecha]],TBL_CalcDarwin[],46,1)</f>
        <v>0.64200000000000002</v>
      </c>
      <c r="I50" s="53">
        <f>VLOOKUP(Table18[[#This Row],[Fecha]],TBL_CalcDarwin[],47,1)</f>
        <v>0.39</v>
      </c>
      <c r="J50" s="73">
        <f>VLOOKUP(Table18[[#This Row],[Fecha]],TBL_CalcDarwin[],44,1)</f>
        <v>3</v>
      </c>
      <c r="K50" s="73">
        <f>VLOOKUP(Table18[[#This Row],[Fecha]],TBL_CalcDarwin[],45,1)</f>
        <v>3</v>
      </c>
      <c r="L50" s="53">
        <f>Table18[[#This Row],[MW Proyectada (Barra A)]]+Table18[[#This Row],[MW Proyectada (Barra B)]]</f>
        <v>1.032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100" t="str">
        <f>"PROYECCIÓN DE GENERACIÓN PLOM "&amp;TEXT(B3,"DD MMM")&amp;" - "&amp;TEXT(B3+9,"DD MMM")</f>
        <v>PROYECCIÓN DE GENERACIÓN PLOM 31 May - 09 Jun</v>
      </c>
      <c r="C1" s="98"/>
      <c r="D1" s="98"/>
      <c r="E1" s="99"/>
      <c r="F1" s="101"/>
    </row>
    <row r="2" spans="2:19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25">
      <c r="B3" s="91">
        <f>'Plantilla Datos'!E3+'Plantilla Datos'!E4</f>
        <v>45443.083333333336</v>
      </c>
      <c r="C3" s="52">
        <f>'Plantilla Datos'!E4</f>
        <v>8.3333333333333329E-2</v>
      </c>
      <c r="D3" s="92">
        <f>Table110[[#This Row],[Fecha]]</f>
        <v>45443.083333333336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90"/>
      <c r="Q3" s="90"/>
    </row>
    <row r="4" spans="2:19" x14ac:dyDescent="0.25">
      <c r="B4" s="91">
        <f>B3+TIME(1,0,0)</f>
        <v>45443.125</v>
      </c>
      <c r="C4" s="52">
        <f>C3+TIME(1,0,0)</f>
        <v>0.125</v>
      </c>
      <c r="D4" s="92">
        <f>Table110[[#This Row],[Fecha]]</f>
        <v>45443.125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90"/>
      <c r="Q4" s="90"/>
    </row>
    <row r="5" spans="2:19" x14ac:dyDescent="0.25">
      <c r="B5" s="91">
        <f t="shared" ref="B5:B68" si="1">B4+TIME(1,0,0)</f>
        <v>45443.166666666664</v>
      </c>
      <c r="C5" s="52">
        <f t="shared" ref="C5:C68" si="2">C4+TIME(1,0,0)</f>
        <v>0.16666666666666666</v>
      </c>
      <c r="D5" s="92">
        <f>Table110[[#This Row],[Fecha]]</f>
        <v>45443.166666666664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90"/>
      <c r="Q5" s="90"/>
    </row>
    <row r="6" spans="2:19" x14ac:dyDescent="0.25">
      <c r="B6" s="91">
        <f t="shared" si="1"/>
        <v>45443.208333333328</v>
      </c>
      <c r="C6" s="52">
        <f t="shared" si="2"/>
        <v>0.20833333333333331</v>
      </c>
      <c r="D6" s="92">
        <f>Table110[[#This Row],[Fecha]]</f>
        <v>45443.208333333328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90"/>
      <c r="Q6" s="90"/>
      <c r="R6" s="93"/>
      <c r="S6" s="93"/>
    </row>
    <row r="7" spans="2:19" x14ac:dyDescent="0.25">
      <c r="B7" s="91">
        <f t="shared" si="1"/>
        <v>45443.249999999993</v>
      </c>
      <c r="C7" s="52">
        <f t="shared" si="2"/>
        <v>0.24999999999999997</v>
      </c>
      <c r="D7" s="92">
        <f>Table110[[#This Row],[Fecha]]</f>
        <v>45443.249999999993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90"/>
      <c r="Q7" s="90"/>
      <c r="R7" s="93"/>
      <c r="S7" s="93"/>
    </row>
    <row r="8" spans="2:19" x14ac:dyDescent="0.25">
      <c r="B8" s="91">
        <f t="shared" si="1"/>
        <v>45443.291666666657</v>
      </c>
      <c r="C8" s="52">
        <f t="shared" si="2"/>
        <v>0.29166666666666663</v>
      </c>
      <c r="D8" s="92">
        <f>Table110[[#This Row],[Fecha]]</f>
        <v>45443.291666666657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90"/>
      <c r="Q8" s="90"/>
      <c r="R8" s="93"/>
      <c r="S8" s="93"/>
    </row>
    <row r="9" spans="2:19" x14ac:dyDescent="0.25">
      <c r="B9" s="91">
        <f t="shared" si="1"/>
        <v>45443.333333333321</v>
      </c>
      <c r="C9" s="52">
        <f t="shared" si="2"/>
        <v>0.33333333333333331</v>
      </c>
      <c r="D9" s="92">
        <f>Table110[[#This Row],[Fecha]]</f>
        <v>45443.333333333321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90"/>
      <c r="Q9" s="90"/>
      <c r="R9" s="93"/>
      <c r="S9" s="93"/>
    </row>
    <row r="10" spans="2:19" x14ac:dyDescent="0.25">
      <c r="B10" s="91">
        <f t="shared" si="1"/>
        <v>45443.374999999985</v>
      </c>
      <c r="C10" s="52">
        <f t="shared" si="2"/>
        <v>0.375</v>
      </c>
      <c r="D10" s="92">
        <f>Table110[[#This Row],[Fecha]]</f>
        <v>45443.374999999985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90"/>
      <c r="Q10" s="90"/>
      <c r="R10" s="93"/>
      <c r="S10" s="93"/>
    </row>
    <row r="11" spans="2:19" x14ac:dyDescent="0.25">
      <c r="B11" s="91">
        <f t="shared" si="1"/>
        <v>45443.41666666665</v>
      </c>
      <c r="C11" s="52">
        <f t="shared" si="2"/>
        <v>0.41666666666666669</v>
      </c>
      <c r="D11" s="92">
        <f>Table110[[#This Row],[Fecha]]</f>
        <v>45443.41666666665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90"/>
      <c r="Q11" s="90"/>
      <c r="R11" s="93"/>
      <c r="S11" s="93"/>
    </row>
    <row r="12" spans="2:19" x14ac:dyDescent="0.25">
      <c r="B12" s="91">
        <f t="shared" si="1"/>
        <v>45443.458333333314</v>
      </c>
      <c r="C12" s="52">
        <f t="shared" si="2"/>
        <v>0.45833333333333337</v>
      </c>
      <c r="D12" s="92">
        <f>Table110[[#This Row],[Fecha]]</f>
        <v>45443.458333333314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90"/>
      <c r="Q12" s="90"/>
      <c r="R12" s="93"/>
      <c r="S12" s="93"/>
    </row>
    <row r="13" spans="2:19" x14ac:dyDescent="0.25">
      <c r="B13" s="91">
        <f t="shared" si="1"/>
        <v>45443.499999999978</v>
      </c>
      <c r="C13" s="52">
        <f t="shared" si="2"/>
        <v>0.5</v>
      </c>
      <c r="D13" s="92">
        <f>Table110[[#This Row],[Fecha]]</f>
        <v>45443.499999999978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90"/>
      <c r="Q13" s="90"/>
      <c r="R13" s="93"/>
      <c r="S13" s="93"/>
    </row>
    <row r="14" spans="2:19" x14ac:dyDescent="0.25">
      <c r="B14" s="91">
        <f t="shared" si="1"/>
        <v>45443.541666666642</v>
      </c>
      <c r="C14" s="52">
        <f t="shared" si="2"/>
        <v>0.54166666666666663</v>
      </c>
      <c r="D14" s="92">
        <f>Table110[[#This Row],[Fecha]]</f>
        <v>45443.541666666642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90"/>
      <c r="Q14" s="90"/>
      <c r="R14" s="93"/>
      <c r="S14" s="93"/>
    </row>
    <row r="15" spans="2:19" x14ac:dyDescent="0.25">
      <c r="B15" s="91">
        <f t="shared" si="1"/>
        <v>45443.583333333307</v>
      </c>
      <c r="C15" s="52">
        <f t="shared" si="2"/>
        <v>0.58333333333333326</v>
      </c>
      <c r="D15" s="92">
        <f>Table110[[#This Row],[Fecha]]</f>
        <v>45443.583333333307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90"/>
      <c r="Q15" s="90"/>
      <c r="R15" s="93"/>
      <c r="S15" s="93"/>
    </row>
    <row r="16" spans="2:19" x14ac:dyDescent="0.25">
      <c r="B16" s="91">
        <f t="shared" si="1"/>
        <v>45443.624999999971</v>
      </c>
      <c r="C16" s="52">
        <f t="shared" si="2"/>
        <v>0.62499999999999989</v>
      </c>
      <c r="D16" s="92">
        <f>Table110[[#This Row],[Fecha]]</f>
        <v>45443.624999999971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90"/>
      <c r="Q16" s="90"/>
      <c r="R16" s="93"/>
      <c r="S16" s="93"/>
    </row>
    <row r="17" spans="2:19" x14ac:dyDescent="0.25">
      <c r="B17" s="91">
        <f t="shared" si="1"/>
        <v>45443.666666666635</v>
      </c>
      <c r="C17" s="52">
        <f t="shared" si="2"/>
        <v>0.66666666666666652</v>
      </c>
      <c r="D17" s="92">
        <f>Table110[[#This Row],[Fecha]]</f>
        <v>45443.666666666635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90"/>
      <c r="Q17" s="90"/>
      <c r="R17" s="93"/>
      <c r="S17" s="93"/>
    </row>
    <row r="18" spans="2:19" x14ac:dyDescent="0.25">
      <c r="B18" s="91">
        <f t="shared" si="1"/>
        <v>45443.708333333299</v>
      </c>
      <c r="C18" s="52">
        <f t="shared" si="2"/>
        <v>0.70833333333333315</v>
      </c>
      <c r="D18" s="92">
        <f>Table110[[#This Row],[Fecha]]</f>
        <v>45443.708333333299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90"/>
      <c r="Q18" s="90"/>
      <c r="R18" s="93"/>
      <c r="S18" s="93"/>
    </row>
    <row r="19" spans="2:19" x14ac:dyDescent="0.25">
      <c r="B19" s="91">
        <f t="shared" si="1"/>
        <v>45443.749999999964</v>
      </c>
      <c r="C19" s="52">
        <f t="shared" si="2"/>
        <v>0.74999999999999978</v>
      </c>
      <c r="D19" s="92">
        <f>Table110[[#This Row],[Fecha]]</f>
        <v>45443.749999999964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90"/>
      <c r="Q19" s="90"/>
      <c r="R19" s="93"/>
      <c r="S19" s="93"/>
    </row>
    <row r="20" spans="2:19" x14ac:dyDescent="0.25">
      <c r="B20" s="91">
        <f t="shared" si="1"/>
        <v>45443.791666666628</v>
      </c>
      <c r="C20" s="52">
        <f t="shared" si="2"/>
        <v>0.79166666666666641</v>
      </c>
      <c r="D20" s="92">
        <f>Table110[[#This Row],[Fecha]]</f>
        <v>45443.791666666628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90"/>
      <c r="Q20" s="90"/>
      <c r="R20" s="93"/>
      <c r="S20" s="93"/>
    </row>
    <row r="21" spans="2:19" x14ac:dyDescent="0.25">
      <c r="B21" s="91">
        <f t="shared" si="1"/>
        <v>45443.833333333292</v>
      </c>
      <c r="C21" s="52">
        <f t="shared" si="2"/>
        <v>0.83333333333333304</v>
      </c>
      <c r="D21" s="92">
        <f>Table110[[#This Row],[Fecha]]</f>
        <v>45443.833333333292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90"/>
      <c r="Q21" s="90"/>
      <c r="R21" s="93"/>
      <c r="S21" s="93"/>
    </row>
    <row r="22" spans="2:19" x14ac:dyDescent="0.25">
      <c r="B22" s="91">
        <f t="shared" si="1"/>
        <v>45443.874999999956</v>
      </c>
      <c r="C22" s="52">
        <f t="shared" si="2"/>
        <v>0.87499999999999967</v>
      </c>
      <c r="D22" s="92">
        <f>Table110[[#This Row],[Fecha]]</f>
        <v>45443.874999999956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90"/>
      <c r="Q22" s="90"/>
      <c r="R22" s="93"/>
      <c r="S22" s="93"/>
    </row>
    <row r="23" spans="2:19" x14ac:dyDescent="0.25">
      <c r="B23" s="91">
        <f t="shared" si="1"/>
        <v>45443.916666666621</v>
      </c>
      <c r="C23" s="52">
        <f t="shared" si="2"/>
        <v>0.9166666666666663</v>
      </c>
      <c r="D23" s="92">
        <f>Table110[[#This Row],[Fecha]]</f>
        <v>45443.916666666621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90"/>
      <c r="Q23" s="90"/>
      <c r="R23" s="93"/>
      <c r="S23" s="93"/>
    </row>
    <row r="24" spans="2:19" x14ac:dyDescent="0.25">
      <c r="B24" s="91">
        <f t="shared" si="1"/>
        <v>45443.958333333285</v>
      </c>
      <c r="C24" s="52">
        <f t="shared" si="2"/>
        <v>0.95833333333333293</v>
      </c>
      <c r="D24" s="92">
        <f>Table110[[#This Row],[Fecha]]</f>
        <v>45443.958333333285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90"/>
      <c r="Q24" s="90"/>
      <c r="R24" s="93"/>
      <c r="S24" s="93"/>
    </row>
    <row r="25" spans="2:19" x14ac:dyDescent="0.25">
      <c r="B25" s="91">
        <f t="shared" si="1"/>
        <v>45443.999999999949</v>
      </c>
      <c r="C25" s="52">
        <f t="shared" si="2"/>
        <v>0.99999999999999956</v>
      </c>
      <c r="D25" s="92">
        <f>Table110[[#This Row],[Fecha]]</f>
        <v>45443.999999999949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90"/>
      <c r="Q25" s="90"/>
      <c r="R25" s="93"/>
      <c r="S25" s="93"/>
    </row>
    <row r="26" spans="2:19" x14ac:dyDescent="0.25">
      <c r="B26" s="91">
        <f t="shared" si="1"/>
        <v>45444.041666666613</v>
      </c>
      <c r="C26" s="52">
        <f t="shared" si="2"/>
        <v>1.0416666666666663</v>
      </c>
      <c r="D26" s="92">
        <f>Table110[[#This Row],[Fecha]]</f>
        <v>45444.041666666613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90"/>
      <c r="Q26" s="90"/>
      <c r="R26" s="93"/>
      <c r="S26" s="93"/>
    </row>
    <row r="27" spans="2:19" x14ac:dyDescent="0.25">
      <c r="B27" s="91">
        <f t="shared" si="1"/>
        <v>45444.083333333278</v>
      </c>
      <c r="C27" s="52">
        <f t="shared" si="2"/>
        <v>1.083333333333333</v>
      </c>
      <c r="D27" s="92">
        <f>Table110[[#This Row],[Fecha]]</f>
        <v>45444.083333333278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90"/>
      <c r="Q27" s="90"/>
      <c r="R27" s="93"/>
      <c r="S27" s="93"/>
    </row>
    <row r="28" spans="2:19" x14ac:dyDescent="0.25">
      <c r="B28" s="91">
        <f t="shared" si="1"/>
        <v>45444.124999999942</v>
      </c>
      <c r="C28" s="52">
        <f t="shared" si="2"/>
        <v>1.1249999999999998</v>
      </c>
      <c r="D28" s="92">
        <f>Table110[[#This Row],[Fecha]]</f>
        <v>45444.124999999942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90"/>
      <c r="Q28" s="90"/>
      <c r="R28" s="93"/>
      <c r="S28" s="93"/>
    </row>
    <row r="29" spans="2:19" x14ac:dyDescent="0.25">
      <c r="B29" s="91">
        <f t="shared" si="1"/>
        <v>45444.166666666606</v>
      </c>
      <c r="C29" s="52">
        <f t="shared" si="2"/>
        <v>1.1666666666666665</v>
      </c>
      <c r="D29" s="92">
        <f>Table110[[#This Row],[Fecha]]</f>
        <v>45444.166666666606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90"/>
      <c r="Q29" s="90"/>
      <c r="R29" s="93"/>
      <c r="S29" s="93"/>
    </row>
    <row r="30" spans="2:19" x14ac:dyDescent="0.25">
      <c r="B30" s="91">
        <f t="shared" si="1"/>
        <v>45444.20833333327</v>
      </c>
      <c r="C30" s="52">
        <f t="shared" si="2"/>
        <v>1.2083333333333333</v>
      </c>
      <c r="D30" s="92">
        <f>Table110[[#This Row],[Fecha]]</f>
        <v>45444.20833333327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90"/>
      <c r="Q30" s="90"/>
      <c r="R30" s="93"/>
      <c r="S30" s="93"/>
    </row>
    <row r="31" spans="2:19" x14ac:dyDescent="0.25">
      <c r="B31" s="91">
        <f t="shared" si="1"/>
        <v>45444.249999999935</v>
      </c>
      <c r="C31" s="52">
        <f t="shared" si="2"/>
        <v>1.25</v>
      </c>
      <c r="D31" s="92">
        <f>Table110[[#This Row],[Fecha]]</f>
        <v>45444.249999999935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90"/>
      <c r="Q31" s="90"/>
      <c r="R31" s="93"/>
      <c r="S31" s="93"/>
    </row>
    <row r="32" spans="2:19" x14ac:dyDescent="0.25">
      <c r="B32" s="91">
        <f t="shared" si="1"/>
        <v>45444.291666666599</v>
      </c>
      <c r="C32" s="52">
        <f t="shared" si="2"/>
        <v>1.2916666666666667</v>
      </c>
      <c r="D32" s="92">
        <f>Table110[[#This Row],[Fecha]]</f>
        <v>45444.291666666599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90"/>
      <c r="Q32" s="90"/>
      <c r="R32" s="93"/>
      <c r="S32" s="93"/>
    </row>
    <row r="33" spans="2:19" x14ac:dyDescent="0.25">
      <c r="B33" s="91">
        <f t="shared" si="1"/>
        <v>45444.333333333263</v>
      </c>
      <c r="C33" s="52">
        <f t="shared" si="2"/>
        <v>1.3333333333333335</v>
      </c>
      <c r="D33" s="92">
        <f>Table110[[#This Row],[Fecha]]</f>
        <v>45444.333333333263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90"/>
      <c r="Q33" s="90"/>
      <c r="R33" s="93"/>
      <c r="S33" s="93"/>
    </row>
    <row r="34" spans="2:19" x14ac:dyDescent="0.25">
      <c r="B34" s="91">
        <f t="shared" si="1"/>
        <v>45444.374999999927</v>
      </c>
      <c r="C34" s="52">
        <f t="shared" si="2"/>
        <v>1.3750000000000002</v>
      </c>
      <c r="D34" s="92">
        <f>Table110[[#This Row],[Fecha]]</f>
        <v>45444.374999999927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90"/>
      <c r="Q34" s="90"/>
      <c r="R34" s="93"/>
      <c r="S34" s="93"/>
    </row>
    <row r="35" spans="2:19" x14ac:dyDescent="0.25">
      <c r="B35" s="91">
        <f t="shared" si="1"/>
        <v>45444.416666666591</v>
      </c>
      <c r="C35" s="52">
        <f t="shared" si="2"/>
        <v>1.416666666666667</v>
      </c>
      <c r="D35" s="92">
        <f>Table110[[#This Row],[Fecha]]</f>
        <v>45444.416666666591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90"/>
      <c r="Q35" s="90"/>
      <c r="R35" s="93"/>
      <c r="S35" s="93"/>
    </row>
    <row r="36" spans="2:19" x14ac:dyDescent="0.25">
      <c r="B36" s="91">
        <f t="shared" si="1"/>
        <v>45444.458333333256</v>
      </c>
      <c r="C36" s="52">
        <f t="shared" si="2"/>
        <v>1.4583333333333337</v>
      </c>
      <c r="D36" s="92">
        <f>Table110[[#This Row],[Fecha]]</f>
        <v>45444.458333333256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90"/>
      <c r="Q36" s="90"/>
      <c r="R36" s="93"/>
      <c r="S36" s="93"/>
    </row>
    <row r="37" spans="2:19" x14ac:dyDescent="0.25">
      <c r="B37" s="91">
        <f t="shared" si="1"/>
        <v>45444.49999999992</v>
      </c>
      <c r="C37" s="52">
        <f t="shared" si="2"/>
        <v>1.5000000000000004</v>
      </c>
      <c r="D37" s="92">
        <f>Table110[[#This Row],[Fecha]]</f>
        <v>45444.49999999992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90"/>
      <c r="Q37" s="90"/>
      <c r="R37" s="93"/>
      <c r="S37" s="93"/>
    </row>
    <row r="38" spans="2:19" x14ac:dyDescent="0.25">
      <c r="B38" s="91">
        <f t="shared" si="1"/>
        <v>45444.541666666584</v>
      </c>
      <c r="C38" s="52">
        <f t="shared" si="2"/>
        <v>1.5416666666666672</v>
      </c>
      <c r="D38" s="92">
        <f>Table110[[#This Row],[Fecha]]</f>
        <v>45444.541666666584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90"/>
      <c r="Q38" s="90"/>
      <c r="R38" s="93"/>
      <c r="S38" s="93"/>
    </row>
    <row r="39" spans="2:19" x14ac:dyDescent="0.25">
      <c r="B39" s="91">
        <f t="shared" si="1"/>
        <v>45444.583333333248</v>
      </c>
      <c r="C39" s="52">
        <f t="shared" si="2"/>
        <v>1.5833333333333339</v>
      </c>
      <c r="D39" s="92">
        <f>Table110[[#This Row],[Fecha]]</f>
        <v>45444.583333333248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90"/>
      <c r="Q39" s="90"/>
      <c r="R39" s="93"/>
      <c r="S39" s="93"/>
    </row>
    <row r="40" spans="2:19" x14ac:dyDescent="0.25">
      <c r="B40" s="91">
        <f t="shared" si="1"/>
        <v>45444.624999999913</v>
      </c>
      <c r="C40" s="52">
        <f t="shared" si="2"/>
        <v>1.6250000000000007</v>
      </c>
      <c r="D40" s="92">
        <f>Table110[[#This Row],[Fecha]]</f>
        <v>45444.624999999913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90"/>
      <c r="Q40" s="90"/>
      <c r="R40" s="93"/>
      <c r="S40" s="93"/>
    </row>
    <row r="41" spans="2:19" x14ac:dyDescent="0.25">
      <c r="B41" s="91">
        <f t="shared" si="1"/>
        <v>45444.666666666577</v>
      </c>
      <c r="C41" s="52">
        <f t="shared" si="2"/>
        <v>1.6666666666666674</v>
      </c>
      <c r="D41" s="92">
        <f>Table110[[#This Row],[Fecha]]</f>
        <v>45444.666666666577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90"/>
      <c r="Q41" s="90"/>
      <c r="R41" s="93"/>
      <c r="S41" s="93"/>
    </row>
    <row r="42" spans="2:19" x14ac:dyDescent="0.25">
      <c r="B42" s="91">
        <f t="shared" si="1"/>
        <v>45444.708333333241</v>
      </c>
      <c r="C42" s="52">
        <f t="shared" si="2"/>
        <v>1.7083333333333341</v>
      </c>
      <c r="D42" s="92">
        <f>Table110[[#This Row],[Fecha]]</f>
        <v>45444.708333333241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90"/>
      <c r="Q42" s="90"/>
      <c r="R42" s="93"/>
      <c r="S42" s="93"/>
    </row>
    <row r="43" spans="2:19" x14ac:dyDescent="0.25">
      <c r="B43" s="91">
        <f t="shared" si="1"/>
        <v>45444.749999999905</v>
      </c>
      <c r="C43" s="52">
        <f t="shared" si="2"/>
        <v>1.7500000000000009</v>
      </c>
      <c r="D43" s="92">
        <f>Table110[[#This Row],[Fecha]]</f>
        <v>45444.749999999905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90"/>
      <c r="Q43" s="90"/>
      <c r="R43" s="93"/>
      <c r="S43" s="93"/>
    </row>
    <row r="44" spans="2:19" x14ac:dyDescent="0.25">
      <c r="B44" s="91">
        <f t="shared" si="1"/>
        <v>45444.79166666657</v>
      </c>
      <c r="C44" s="52">
        <f t="shared" si="2"/>
        <v>1.7916666666666676</v>
      </c>
      <c r="D44" s="92">
        <f>Table110[[#This Row],[Fecha]]</f>
        <v>45444.79166666657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90"/>
      <c r="Q44" s="90"/>
      <c r="R44" s="93"/>
      <c r="S44" s="93"/>
    </row>
    <row r="45" spans="2:19" x14ac:dyDescent="0.25">
      <c r="B45" s="91">
        <f t="shared" si="1"/>
        <v>45444.833333333234</v>
      </c>
      <c r="C45" s="52">
        <f t="shared" si="2"/>
        <v>1.8333333333333344</v>
      </c>
      <c r="D45" s="92">
        <f>Table110[[#This Row],[Fecha]]</f>
        <v>45444.833333333234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90"/>
      <c r="Q45" s="90"/>
      <c r="R45" s="93"/>
      <c r="S45" s="93"/>
    </row>
    <row r="46" spans="2:19" x14ac:dyDescent="0.25">
      <c r="B46" s="91">
        <f t="shared" si="1"/>
        <v>45444.874999999898</v>
      </c>
      <c r="C46" s="52">
        <f t="shared" si="2"/>
        <v>1.8750000000000011</v>
      </c>
      <c r="D46" s="92">
        <f>Table110[[#This Row],[Fecha]]</f>
        <v>45444.874999999898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90"/>
      <c r="Q46" s="90"/>
      <c r="R46" s="93"/>
      <c r="S46" s="93"/>
    </row>
    <row r="47" spans="2:19" x14ac:dyDescent="0.25">
      <c r="B47" s="91">
        <f t="shared" si="1"/>
        <v>45444.916666666562</v>
      </c>
      <c r="C47" s="52">
        <f t="shared" si="2"/>
        <v>1.9166666666666679</v>
      </c>
      <c r="D47" s="92">
        <f>Table110[[#This Row],[Fecha]]</f>
        <v>45444.916666666562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90"/>
      <c r="Q47" s="90"/>
      <c r="R47" s="93"/>
      <c r="S47" s="93"/>
    </row>
    <row r="48" spans="2:19" x14ac:dyDescent="0.25">
      <c r="B48" s="91">
        <f t="shared" si="1"/>
        <v>45444.958333333227</v>
      </c>
      <c r="C48" s="52">
        <f t="shared" si="2"/>
        <v>1.9583333333333346</v>
      </c>
      <c r="D48" s="92">
        <f>Table110[[#This Row],[Fecha]]</f>
        <v>45444.958333333227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90"/>
      <c r="Q48" s="90"/>
      <c r="R48" s="93"/>
      <c r="S48" s="93"/>
    </row>
    <row r="49" spans="2:19" x14ac:dyDescent="0.25">
      <c r="B49" s="91">
        <f t="shared" si="1"/>
        <v>45444.999999999891</v>
      </c>
      <c r="C49" s="52">
        <f t="shared" si="2"/>
        <v>2.0000000000000013</v>
      </c>
      <c r="D49" s="92">
        <f>Table110[[#This Row],[Fecha]]</f>
        <v>45444.999999999891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90"/>
      <c r="Q49" s="90"/>
      <c r="R49" s="93"/>
      <c r="S49" s="93"/>
    </row>
    <row r="50" spans="2:19" x14ac:dyDescent="0.25">
      <c r="B50" s="91">
        <f t="shared" si="1"/>
        <v>45445.041666666555</v>
      </c>
      <c r="C50" s="52">
        <f t="shared" si="2"/>
        <v>2.0416666666666679</v>
      </c>
      <c r="D50" s="92">
        <f>Table110[[#This Row],[Fecha]]</f>
        <v>45445.041666666555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90"/>
      <c r="Q50" s="90"/>
      <c r="R50" s="93"/>
      <c r="S50" s="93"/>
    </row>
    <row r="51" spans="2:19" x14ac:dyDescent="0.25">
      <c r="B51" s="91">
        <f t="shared" si="1"/>
        <v>45445.083333333219</v>
      </c>
      <c r="C51" s="52">
        <f t="shared" si="2"/>
        <v>2.0833333333333344</v>
      </c>
      <c r="D51" s="92">
        <f>Table110[[#This Row],[Fecha]]</f>
        <v>45445.083333333219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90"/>
      <c r="Q51" s="90"/>
      <c r="R51" s="93"/>
      <c r="S51" s="93"/>
    </row>
    <row r="52" spans="2:19" x14ac:dyDescent="0.25">
      <c r="B52" s="91">
        <f t="shared" si="1"/>
        <v>45445.124999999884</v>
      </c>
      <c r="C52" s="52">
        <f t="shared" si="2"/>
        <v>2.1250000000000009</v>
      </c>
      <c r="D52" s="92">
        <f>Table110[[#This Row],[Fecha]]</f>
        <v>45445.124999999884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90"/>
      <c r="Q52" s="90"/>
      <c r="R52" s="93"/>
      <c r="S52" s="93"/>
    </row>
    <row r="53" spans="2:19" x14ac:dyDescent="0.25">
      <c r="B53" s="91">
        <f t="shared" si="1"/>
        <v>45445.166666666548</v>
      </c>
      <c r="C53" s="52">
        <f t="shared" si="2"/>
        <v>2.1666666666666674</v>
      </c>
      <c r="D53" s="92">
        <f>Table110[[#This Row],[Fecha]]</f>
        <v>45445.166666666548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90"/>
      <c r="Q53" s="90"/>
      <c r="R53" s="93"/>
      <c r="S53" s="93"/>
    </row>
    <row r="54" spans="2:19" x14ac:dyDescent="0.25">
      <c r="B54" s="91">
        <f t="shared" si="1"/>
        <v>45445.208333333212</v>
      </c>
      <c r="C54" s="52">
        <f t="shared" si="2"/>
        <v>2.2083333333333339</v>
      </c>
      <c r="D54" s="92">
        <f>Table110[[#This Row],[Fecha]]</f>
        <v>45445.208333333212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90"/>
      <c r="Q54" s="90"/>
      <c r="R54" s="93"/>
      <c r="S54" s="93"/>
    </row>
    <row r="55" spans="2:19" x14ac:dyDescent="0.25">
      <c r="B55" s="91">
        <f t="shared" si="1"/>
        <v>45445.249999999876</v>
      </c>
      <c r="C55" s="52">
        <f t="shared" si="2"/>
        <v>2.2500000000000004</v>
      </c>
      <c r="D55" s="92">
        <f>Table110[[#This Row],[Fecha]]</f>
        <v>45445.249999999876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90"/>
      <c r="Q55" s="90"/>
      <c r="R55" s="93"/>
      <c r="S55" s="93"/>
    </row>
    <row r="56" spans="2:19" x14ac:dyDescent="0.25">
      <c r="B56" s="91">
        <f t="shared" si="1"/>
        <v>45445.291666666541</v>
      </c>
      <c r="C56" s="52">
        <f t="shared" si="2"/>
        <v>2.291666666666667</v>
      </c>
      <c r="D56" s="92">
        <f>Table110[[#This Row],[Fecha]]</f>
        <v>45445.291666666541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90"/>
      <c r="Q56" s="90"/>
      <c r="R56" s="93"/>
      <c r="S56" s="93"/>
    </row>
    <row r="57" spans="2:19" x14ac:dyDescent="0.25">
      <c r="B57" s="91">
        <f t="shared" si="1"/>
        <v>45445.333333333205</v>
      </c>
      <c r="C57" s="52">
        <f t="shared" si="2"/>
        <v>2.3333333333333335</v>
      </c>
      <c r="D57" s="92">
        <f>Table110[[#This Row],[Fecha]]</f>
        <v>45445.333333333205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90"/>
      <c r="Q57" s="90"/>
      <c r="R57" s="93"/>
      <c r="S57" s="93"/>
    </row>
    <row r="58" spans="2:19" x14ac:dyDescent="0.25">
      <c r="B58" s="91">
        <f t="shared" si="1"/>
        <v>45445.374999999869</v>
      </c>
      <c r="C58" s="52">
        <f t="shared" si="2"/>
        <v>2.375</v>
      </c>
      <c r="D58" s="92">
        <f>Table110[[#This Row],[Fecha]]</f>
        <v>45445.374999999869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90"/>
      <c r="Q58" s="90"/>
      <c r="R58" s="93"/>
      <c r="S58" s="93"/>
    </row>
    <row r="59" spans="2:19" x14ac:dyDescent="0.25">
      <c r="B59" s="91">
        <f t="shared" si="1"/>
        <v>45445.416666666533</v>
      </c>
      <c r="C59" s="52">
        <f t="shared" si="2"/>
        <v>2.4166666666666665</v>
      </c>
      <c r="D59" s="92">
        <f>Table110[[#This Row],[Fecha]]</f>
        <v>45445.416666666533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90"/>
      <c r="Q59" s="90"/>
      <c r="R59" s="93"/>
      <c r="S59" s="93"/>
    </row>
    <row r="60" spans="2:19" x14ac:dyDescent="0.25">
      <c r="B60" s="91">
        <f t="shared" si="1"/>
        <v>45445.458333333198</v>
      </c>
      <c r="C60" s="52">
        <f t="shared" si="2"/>
        <v>2.458333333333333</v>
      </c>
      <c r="D60" s="92">
        <f>Table110[[#This Row],[Fecha]]</f>
        <v>45445.458333333198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90"/>
      <c r="Q60" s="90"/>
      <c r="R60" s="93"/>
      <c r="S60" s="93"/>
    </row>
    <row r="61" spans="2:19" x14ac:dyDescent="0.25">
      <c r="B61" s="91">
        <f t="shared" si="1"/>
        <v>45445.499999999862</v>
      </c>
      <c r="C61" s="52">
        <f t="shared" si="2"/>
        <v>2.4999999999999996</v>
      </c>
      <c r="D61" s="92">
        <f>Table110[[#This Row],[Fecha]]</f>
        <v>45445.499999999862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90"/>
      <c r="Q61" s="90"/>
      <c r="R61" s="93"/>
      <c r="S61" s="93"/>
    </row>
    <row r="62" spans="2:19" x14ac:dyDescent="0.25">
      <c r="B62" s="91">
        <f t="shared" si="1"/>
        <v>45445.541666666526</v>
      </c>
      <c r="C62" s="52">
        <f t="shared" si="2"/>
        <v>2.5416666666666661</v>
      </c>
      <c r="D62" s="92">
        <f>Table110[[#This Row],[Fecha]]</f>
        <v>45445.541666666526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90"/>
      <c r="Q62" s="90"/>
      <c r="R62" s="93"/>
      <c r="S62" s="93"/>
    </row>
    <row r="63" spans="2:19" x14ac:dyDescent="0.25">
      <c r="B63" s="91">
        <f t="shared" si="1"/>
        <v>45445.58333333319</v>
      </c>
      <c r="C63" s="52">
        <f t="shared" si="2"/>
        <v>2.5833333333333326</v>
      </c>
      <c r="D63" s="92">
        <f>Table110[[#This Row],[Fecha]]</f>
        <v>45445.58333333319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90"/>
      <c r="Q63" s="90"/>
      <c r="R63" s="93"/>
      <c r="S63" s="93"/>
    </row>
    <row r="64" spans="2:19" x14ac:dyDescent="0.25">
      <c r="B64" s="91">
        <f t="shared" si="1"/>
        <v>45445.624999999854</v>
      </c>
      <c r="C64" s="52">
        <f t="shared" si="2"/>
        <v>2.6249999999999991</v>
      </c>
      <c r="D64" s="92">
        <f>Table110[[#This Row],[Fecha]]</f>
        <v>45445.624999999854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90"/>
      <c r="Q64" s="90"/>
      <c r="R64" s="93"/>
      <c r="S64" s="93"/>
    </row>
    <row r="65" spans="2:19" x14ac:dyDescent="0.25">
      <c r="B65" s="91">
        <f t="shared" si="1"/>
        <v>45445.666666666519</v>
      </c>
      <c r="C65" s="52">
        <f t="shared" si="2"/>
        <v>2.6666666666666656</v>
      </c>
      <c r="D65" s="92">
        <f>Table110[[#This Row],[Fecha]]</f>
        <v>45445.666666666519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90"/>
      <c r="Q65" s="90"/>
      <c r="R65" s="93"/>
      <c r="S65" s="93"/>
    </row>
    <row r="66" spans="2:19" x14ac:dyDescent="0.25">
      <c r="B66" s="91">
        <f t="shared" si="1"/>
        <v>45445.708333333183</v>
      </c>
      <c r="C66" s="52">
        <f t="shared" si="2"/>
        <v>2.7083333333333321</v>
      </c>
      <c r="D66" s="92">
        <f>Table110[[#This Row],[Fecha]]</f>
        <v>45445.708333333183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90"/>
      <c r="Q66" s="90"/>
      <c r="R66" s="93"/>
      <c r="S66" s="93"/>
    </row>
    <row r="67" spans="2:19" x14ac:dyDescent="0.25">
      <c r="B67" s="91">
        <f t="shared" si="1"/>
        <v>45445.749999999847</v>
      </c>
      <c r="C67" s="52">
        <f t="shared" si="2"/>
        <v>2.7499999999999987</v>
      </c>
      <c r="D67" s="92">
        <f>Table110[[#This Row],[Fecha]]</f>
        <v>45445.749999999847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90"/>
      <c r="Q67" s="90"/>
      <c r="R67" s="93"/>
      <c r="S67" s="93"/>
    </row>
    <row r="68" spans="2:19" x14ac:dyDescent="0.25">
      <c r="B68" s="91">
        <f t="shared" si="1"/>
        <v>45445.791666666511</v>
      </c>
      <c r="C68" s="52">
        <f t="shared" si="2"/>
        <v>2.7916666666666652</v>
      </c>
      <c r="D68" s="92">
        <f>Table110[[#This Row],[Fecha]]</f>
        <v>45445.791666666511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90"/>
      <c r="Q68" s="90"/>
      <c r="R68" s="93"/>
      <c r="S68" s="93"/>
    </row>
    <row r="69" spans="2:19" x14ac:dyDescent="0.25">
      <c r="B69" s="91">
        <f t="shared" ref="B69:B132" si="4">B68+TIME(1,0,0)</f>
        <v>45445.833333333176</v>
      </c>
      <c r="C69" s="52">
        <f t="shared" ref="C69:C132" si="5">C68+TIME(1,0,0)</f>
        <v>2.8333333333333317</v>
      </c>
      <c r="D69" s="92">
        <f>Table110[[#This Row],[Fecha]]</f>
        <v>45445.833333333176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90"/>
      <c r="Q69" s="90"/>
      <c r="R69" s="93"/>
      <c r="S69" s="93"/>
    </row>
    <row r="70" spans="2:19" x14ac:dyDescent="0.25">
      <c r="B70" s="91">
        <f t="shared" si="4"/>
        <v>45445.87499999984</v>
      </c>
      <c r="C70" s="52">
        <f t="shared" si="5"/>
        <v>2.8749999999999982</v>
      </c>
      <c r="D70" s="92">
        <f>Table110[[#This Row],[Fecha]]</f>
        <v>45445.87499999984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90"/>
      <c r="Q70" s="90"/>
      <c r="R70" s="93"/>
      <c r="S70" s="93"/>
    </row>
    <row r="71" spans="2:19" x14ac:dyDescent="0.25">
      <c r="B71" s="91">
        <f t="shared" si="4"/>
        <v>45445.916666666504</v>
      </c>
      <c r="C71" s="52">
        <f t="shared" si="5"/>
        <v>2.9166666666666647</v>
      </c>
      <c r="D71" s="92">
        <f>Table110[[#This Row],[Fecha]]</f>
        <v>45445.916666666504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90"/>
      <c r="Q71" s="90"/>
      <c r="R71" s="93"/>
      <c r="S71" s="93"/>
    </row>
    <row r="72" spans="2:19" x14ac:dyDescent="0.25">
      <c r="B72" s="91">
        <f t="shared" si="4"/>
        <v>45445.958333333168</v>
      </c>
      <c r="C72" s="52">
        <f t="shared" si="5"/>
        <v>2.9583333333333313</v>
      </c>
      <c r="D72" s="92">
        <f>Table110[[#This Row],[Fecha]]</f>
        <v>45445.958333333168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90"/>
      <c r="Q72" s="90"/>
      <c r="R72" s="93"/>
      <c r="S72" s="93"/>
    </row>
    <row r="73" spans="2:19" x14ac:dyDescent="0.25">
      <c r="B73" s="91">
        <f t="shared" si="4"/>
        <v>45445.999999999833</v>
      </c>
      <c r="C73" s="52">
        <f t="shared" si="5"/>
        <v>2.9999999999999978</v>
      </c>
      <c r="D73" s="92">
        <f>Table110[[#This Row],[Fecha]]</f>
        <v>45445.999999999833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90"/>
      <c r="Q73" s="90"/>
      <c r="R73" s="93"/>
      <c r="S73" s="93"/>
    </row>
    <row r="74" spans="2:19" x14ac:dyDescent="0.25">
      <c r="B74" s="91">
        <f t="shared" si="4"/>
        <v>45446.041666666497</v>
      </c>
      <c r="C74" s="52">
        <f t="shared" si="5"/>
        <v>3.0416666666666643</v>
      </c>
      <c r="D74" s="92">
        <f>Table110[[#This Row],[Fecha]]</f>
        <v>45446.041666666497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90"/>
      <c r="Q74" s="90"/>
      <c r="R74" s="93"/>
      <c r="S74" s="93"/>
    </row>
    <row r="75" spans="2:19" x14ac:dyDescent="0.25">
      <c r="B75" s="91">
        <f t="shared" si="4"/>
        <v>45446.083333333161</v>
      </c>
      <c r="C75" s="52">
        <f t="shared" si="5"/>
        <v>3.0833333333333308</v>
      </c>
      <c r="D75" s="92">
        <f>Table110[[#This Row],[Fecha]]</f>
        <v>45446.083333333161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90"/>
      <c r="Q75" s="90"/>
      <c r="R75" s="93"/>
      <c r="S75" s="93"/>
    </row>
    <row r="76" spans="2:19" x14ac:dyDescent="0.25">
      <c r="B76" s="91">
        <f t="shared" si="4"/>
        <v>45446.124999999825</v>
      </c>
      <c r="C76" s="52">
        <f t="shared" si="5"/>
        <v>3.1249999999999973</v>
      </c>
      <c r="D76" s="92">
        <f>Table110[[#This Row],[Fecha]]</f>
        <v>45446.124999999825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90"/>
      <c r="Q76" s="90"/>
      <c r="R76" s="93"/>
      <c r="S76" s="93"/>
    </row>
    <row r="77" spans="2:19" x14ac:dyDescent="0.25">
      <c r="B77" s="91">
        <f t="shared" si="4"/>
        <v>45446.16666666649</v>
      </c>
      <c r="C77" s="52">
        <f t="shared" si="5"/>
        <v>3.1666666666666639</v>
      </c>
      <c r="D77" s="92">
        <f>Table110[[#This Row],[Fecha]]</f>
        <v>45446.16666666649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90"/>
      <c r="Q77" s="90"/>
      <c r="R77" s="93"/>
      <c r="S77" s="93"/>
    </row>
    <row r="78" spans="2:19" x14ac:dyDescent="0.25">
      <c r="B78" s="91">
        <f t="shared" si="4"/>
        <v>45446.208333333154</v>
      </c>
      <c r="C78" s="52">
        <f t="shared" si="5"/>
        <v>3.2083333333333304</v>
      </c>
      <c r="D78" s="92">
        <f>Table110[[#This Row],[Fecha]]</f>
        <v>45446.208333333154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90"/>
      <c r="Q78" s="90"/>
      <c r="R78" s="93"/>
      <c r="S78" s="93"/>
    </row>
    <row r="79" spans="2:19" x14ac:dyDescent="0.25">
      <c r="B79" s="91">
        <f t="shared" si="4"/>
        <v>45446.249999999818</v>
      </c>
      <c r="C79" s="52">
        <f t="shared" si="5"/>
        <v>3.2499999999999969</v>
      </c>
      <c r="D79" s="92">
        <f>Table110[[#This Row],[Fecha]]</f>
        <v>45446.249999999818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90"/>
      <c r="Q79" s="90"/>
      <c r="R79" s="93"/>
      <c r="S79" s="93"/>
    </row>
    <row r="80" spans="2:19" x14ac:dyDescent="0.25">
      <c r="B80" s="91">
        <f t="shared" si="4"/>
        <v>45446.291666666482</v>
      </c>
      <c r="C80" s="52">
        <f t="shared" si="5"/>
        <v>3.2916666666666634</v>
      </c>
      <c r="D80" s="92">
        <f>Table110[[#This Row],[Fecha]]</f>
        <v>45446.291666666482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90"/>
      <c r="Q80" s="90"/>
      <c r="R80" s="93"/>
      <c r="S80" s="93"/>
    </row>
    <row r="81" spans="2:19" x14ac:dyDescent="0.25">
      <c r="B81" s="91">
        <f t="shared" si="4"/>
        <v>45446.333333333147</v>
      </c>
      <c r="C81" s="52">
        <f t="shared" si="5"/>
        <v>3.3333333333333299</v>
      </c>
      <c r="D81" s="92">
        <f>Table110[[#This Row],[Fecha]]</f>
        <v>45446.333333333147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90"/>
      <c r="Q81" s="90"/>
      <c r="R81" s="93"/>
      <c r="S81" s="93"/>
    </row>
    <row r="82" spans="2:19" x14ac:dyDescent="0.25">
      <c r="B82" s="91">
        <f t="shared" si="4"/>
        <v>45446.374999999811</v>
      </c>
      <c r="C82" s="52">
        <f t="shared" si="5"/>
        <v>3.3749999999999964</v>
      </c>
      <c r="D82" s="92">
        <f>Table110[[#This Row],[Fecha]]</f>
        <v>45446.374999999811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90"/>
      <c r="Q82" s="90"/>
      <c r="R82" s="93"/>
      <c r="S82" s="93"/>
    </row>
    <row r="83" spans="2:19" x14ac:dyDescent="0.25">
      <c r="B83" s="91">
        <f t="shared" si="4"/>
        <v>45446.416666666475</v>
      </c>
      <c r="C83" s="52">
        <f t="shared" si="5"/>
        <v>3.416666666666663</v>
      </c>
      <c r="D83" s="92">
        <f>Table110[[#This Row],[Fecha]]</f>
        <v>45446.416666666475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90"/>
      <c r="Q83" s="90"/>
      <c r="R83" s="93"/>
      <c r="S83" s="93"/>
    </row>
    <row r="84" spans="2:19" x14ac:dyDescent="0.25">
      <c r="B84" s="91">
        <f t="shared" si="4"/>
        <v>45446.458333333139</v>
      </c>
      <c r="C84" s="52">
        <f t="shared" si="5"/>
        <v>3.4583333333333295</v>
      </c>
      <c r="D84" s="92">
        <f>Table110[[#This Row],[Fecha]]</f>
        <v>45446.458333333139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90"/>
      <c r="Q84" s="90"/>
      <c r="R84" s="93"/>
      <c r="S84" s="93"/>
    </row>
    <row r="85" spans="2:19" x14ac:dyDescent="0.25">
      <c r="B85" s="91">
        <f t="shared" si="4"/>
        <v>45446.499999999804</v>
      </c>
      <c r="C85" s="52">
        <f t="shared" si="5"/>
        <v>3.499999999999996</v>
      </c>
      <c r="D85" s="92">
        <f>Table110[[#This Row],[Fecha]]</f>
        <v>45446.499999999804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90"/>
      <c r="Q85" s="90"/>
      <c r="R85" s="93"/>
      <c r="S85" s="93"/>
    </row>
    <row r="86" spans="2:19" x14ac:dyDescent="0.25">
      <c r="B86" s="91">
        <f t="shared" si="4"/>
        <v>45446.541666666468</v>
      </c>
      <c r="C86" s="52">
        <f t="shared" si="5"/>
        <v>3.5416666666666625</v>
      </c>
      <c r="D86" s="92">
        <f>Table110[[#This Row],[Fecha]]</f>
        <v>45446.541666666468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90"/>
      <c r="Q86" s="90"/>
      <c r="R86" s="93"/>
      <c r="S86" s="93"/>
    </row>
    <row r="87" spans="2:19" x14ac:dyDescent="0.25">
      <c r="B87" s="91">
        <f t="shared" si="4"/>
        <v>45446.583333333132</v>
      </c>
      <c r="C87" s="52">
        <f t="shared" si="5"/>
        <v>3.583333333333329</v>
      </c>
      <c r="D87" s="92">
        <f>Table110[[#This Row],[Fecha]]</f>
        <v>45446.583333333132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90"/>
      <c r="Q87" s="90"/>
      <c r="R87" s="93"/>
      <c r="S87" s="93"/>
    </row>
    <row r="88" spans="2:19" x14ac:dyDescent="0.25">
      <c r="B88" s="91">
        <f t="shared" si="4"/>
        <v>45446.624999999796</v>
      </c>
      <c r="C88" s="52">
        <f t="shared" si="5"/>
        <v>3.6249999999999956</v>
      </c>
      <c r="D88" s="92">
        <f>Table110[[#This Row],[Fecha]]</f>
        <v>45446.624999999796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90"/>
      <c r="Q88" s="90"/>
      <c r="R88" s="93"/>
      <c r="S88" s="93"/>
    </row>
    <row r="89" spans="2:19" x14ac:dyDescent="0.25">
      <c r="B89" s="91">
        <f t="shared" si="4"/>
        <v>45446.666666666461</v>
      </c>
      <c r="C89" s="52">
        <f t="shared" si="5"/>
        <v>3.6666666666666621</v>
      </c>
      <c r="D89" s="92">
        <f>Table110[[#This Row],[Fecha]]</f>
        <v>45446.666666666461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90"/>
      <c r="Q89" s="90"/>
      <c r="R89" s="93"/>
      <c r="S89" s="93"/>
    </row>
    <row r="90" spans="2:19" x14ac:dyDescent="0.25">
      <c r="B90" s="91">
        <f t="shared" si="4"/>
        <v>45446.708333333125</v>
      </c>
      <c r="C90" s="52">
        <f t="shared" si="5"/>
        <v>3.7083333333333286</v>
      </c>
      <c r="D90" s="92">
        <f>Table110[[#This Row],[Fecha]]</f>
        <v>45446.708333333125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90"/>
      <c r="Q90" s="90"/>
      <c r="R90" s="93"/>
      <c r="S90" s="93"/>
    </row>
    <row r="91" spans="2:19" x14ac:dyDescent="0.25">
      <c r="B91" s="91">
        <f t="shared" si="4"/>
        <v>45446.749999999789</v>
      </c>
      <c r="C91" s="52">
        <f t="shared" si="5"/>
        <v>3.7499999999999951</v>
      </c>
      <c r="D91" s="92">
        <f>Table110[[#This Row],[Fecha]]</f>
        <v>45446.749999999789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90"/>
      <c r="Q91" s="90"/>
      <c r="R91" s="93"/>
      <c r="S91" s="93"/>
    </row>
    <row r="92" spans="2:19" x14ac:dyDescent="0.25">
      <c r="B92" s="91">
        <f t="shared" si="4"/>
        <v>45446.791666666453</v>
      </c>
      <c r="C92" s="52">
        <f t="shared" si="5"/>
        <v>3.7916666666666616</v>
      </c>
      <c r="D92" s="92">
        <f>Table110[[#This Row],[Fecha]]</f>
        <v>45446.791666666453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90"/>
      <c r="Q92" s="90"/>
      <c r="R92" s="93"/>
      <c r="S92" s="93"/>
    </row>
    <row r="93" spans="2:19" x14ac:dyDescent="0.25">
      <c r="B93" s="91">
        <f t="shared" si="4"/>
        <v>45446.833333333117</v>
      </c>
      <c r="C93" s="52">
        <f t="shared" si="5"/>
        <v>3.8333333333333282</v>
      </c>
      <c r="D93" s="92">
        <f>Table110[[#This Row],[Fecha]]</f>
        <v>45446.833333333117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90"/>
      <c r="Q93" s="90"/>
      <c r="R93" s="93"/>
      <c r="S93" s="93"/>
    </row>
    <row r="94" spans="2:19" x14ac:dyDescent="0.25">
      <c r="B94" s="91">
        <f t="shared" si="4"/>
        <v>45446.874999999782</v>
      </c>
      <c r="C94" s="52">
        <f t="shared" si="5"/>
        <v>3.8749999999999947</v>
      </c>
      <c r="D94" s="92">
        <f>Table110[[#This Row],[Fecha]]</f>
        <v>45446.874999999782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90"/>
      <c r="Q94" s="90"/>
      <c r="R94" s="93"/>
      <c r="S94" s="93"/>
    </row>
    <row r="95" spans="2:19" x14ac:dyDescent="0.25">
      <c r="B95" s="91">
        <f t="shared" si="4"/>
        <v>45446.916666666446</v>
      </c>
      <c r="C95" s="52">
        <f t="shared" si="5"/>
        <v>3.9166666666666612</v>
      </c>
      <c r="D95" s="92">
        <f>Table110[[#This Row],[Fecha]]</f>
        <v>45446.916666666446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90"/>
      <c r="Q95" s="90"/>
      <c r="R95" s="93"/>
      <c r="S95" s="93"/>
    </row>
    <row r="96" spans="2:19" x14ac:dyDescent="0.25">
      <c r="B96" s="91">
        <f t="shared" si="4"/>
        <v>45446.95833333311</v>
      </c>
      <c r="C96" s="52">
        <f t="shared" si="5"/>
        <v>3.9583333333333277</v>
      </c>
      <c r="D96" s="92">
        <f>Table110[[#This Row],[Fecha]]</f>
        <v>45446.95833333311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90"/>
      <c r="Q96" s="90"/>
      <c r="R96" s="93"/>
      <c r="S96" s="93"/>
    </row>
    <row r="97" spans="2:19" x14ac:dyDescent="0.25">
      <c r="B97" s="91">
        <f t="shared" si="4"/>
        <v>45446.999999999774</v>
      </c>
      <c r="C97" s="52">
        <f t="shared" si="5"/>
        <v>3.9999999999999942</v>
      </c>
      <c r="D97" s="92">
        <f>Table110[[#This Row],[Fecha]]</f>
        <v>45446.999999999774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90"/>
      <c r="Q97" s="90"/>
      <c r="R97" s="93"/>
      <c r="S97" s="93"/>
    </row>
    <row r="98" spans="2:19" x14ac:dyDescent="0.25">
      <c r="B98" s="91">
        <f t="shared" si="4"/>
        <v>45447.041666666439</v>
      </c>
      <c r="C98" s="52">
        <f t="shared" si="5"/>
        <v>4.0416666666666607</v>
      </c>
      <c r="D98" s="92">
        <f>Table110[[#This Row],[Fecha]]</f>
        <v>45447.041666666439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90"/>
      <c r="Q98" s="90"/>
      <c r="R98" s="93"/>
      <c r="S98" s="93"/>
    </row>
    <row r="99" spans="2:19" x14ac:dyDescent="0.25">
      <c r="B99" s="91">
        <f t="shared" si="4"/>
        <v>45447.083333333103</v>
      </c>
      <c r="C99" s="52">
        <f t="shared" si="5"/>
        <v>4.0833333333333277</v>
      </c>
      <c r="D99" s="92">
        <f>Table110[[#This Row],[Fecha]]</f>
        <v>45447.083333333103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90"/>
      <c r="Q99" s="90"/>
      <c r="R99" s="93"/>
      <c r="S99" s="93"/>
    </row>
    <row r="100" spans="2:19" x14ac:dyDescent="0.25">
      <c r="B100" s="91">
        <f t="shared" si="4"/>
        <v>45447.124999999767</v>
      </c>
      <c r="C100" s="52">
        <f t="shared" si="5"/>
        <v>4.1249999999999947</v>
      </c>
      <c r="D100" s="92">
        <f>Table110[[#This Row],[Fecha]]</f>
        <v>45447.124999999767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90"/>
      <c r="Q100" s="90"/>
      <c r="R100" s="93"/>
      <c r="S100" s="93"/>
    </row>
    <row r="101" spans="2:19" x14ac:dyDescent="0.25">
      <c r="B101" s="91">
        <f t="shared" si="4"/>
        <v>45447.166666666431</v>
      </c>
      <c r="C101" s="52">
        <f t="shared" si="5"/>
        <v>4.1666666666666616</v>
      </c>
      <c r="D101" s="92">
        <f>Table110[[#This Row],[Fecha]]</f>
        <v>45447.166666666431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90"/>
      <c r="Q101" s="90"/>
      <c r="R101" s="93"/>
      <c r="S101" s="93"/>
    </row>
    <row r="102" spans="2:19" x14ac:dyDescent="0.25">
      <c r="B102" s="91">
        <f t="shared" si="4"/>
        <v>45447.208333333096</v>
      </c>
      <c r="C102" s="52">
        <f t="shared" si="5"/>
        <v>4.2083333333333286</v>
      </c>
      <c r="D102" s="92">
        <f>Table110[[#This Row],[Fecha]]</f>
        <v>45447.208333333096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90"/>
      <c r="Q102" s="90"/>
      <c r="R102" s="93"/>
      <c r="S102" s="93"/>
    </row>
    <row r="103" spans="2:19" x14ac:dyDescent="0.25">
      <c r="B103" s="91">
        <f t="shared" si="4"/>
        <v>45447.24999999976</v>
      </c>
      <c r="C103" s="52">
        <f t="shared" si="5"/>
        <v>4.2499999999999956</v>
      </c>
      <c r="D103" s="92">
        <f>Table110[[#This Row],[Fecha]]</f>
        <v>45447.24999999976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90"/>
      <c r="Q103" s="90"/>
      <c r="R103" s="93"/>
      <c r="S103" s="93"/>
    </row>
    <row r="104" spans="2:19" x14ac:dyDescent="0.25">
      <c r="B104" s="91">
        <f t="shared" si="4"/>
        <v>45447.291666666424</v>
      </c>
      <c r="C104" s="52">
        <f t="shared" si="5"/>
        <v>4.2916666666666625</v>
      </c>
      <c r="D104" s="92">
        <f>Table110[[#This Row],[Fecha]]</f>
        <v>45447.291666666424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90"/>
      <c r="Q104" s="90"/>
      <c r="R104" s="93"/>
      <c r="S104" s="93"/>
    </row>
    <row r="105" spans="2:19" x14ac:dyDescent="0.25">
      <c r="B105" s="91">
        <f t="shared" si="4"/>
        <v>45447.333333333088</v>
      </c>
      <c r="C105" s="52">
        <f t="shared" si="5"/>
        <v>4.3333333333333295</v>
      </c>
      <c r="D105" s="92">
        <f>Table110[[#This Row],[Fecha]]</f>
        <v>45447.333333333088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90"/>
      <c r="Q105" s="90"/>
      <c r="R105" s="93"/>
      <c r="S105" s="93"/>
    </row>
    <row r="106" spans="2:19" x14ac:dyDescent="0.25">
      <c r="B106" s="91">
        <f t="shared" si="4"/>
        <v>45447.374999999753</v>
      </c>
      <c r="C106" s="52">
        <f t="shared" si="5"/>
        <v>4.3749999999999964</v>
      </c>
      <c r="D106" s="92">
        <f>Table110[[#This Row],[Fecha]]</f>
        <v>45447.374999999753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90"/>
      <c r="Q106" s="90"/>
      <c r="R106" s="93"/>
      <c r="S106" s="93"/>
    </row>
    <row r="107" spans="2:19" x14ac:dyDescent="0.25">
      <c r="B107" s="91">
        <f t="shared" si="4"/>
        <v>45447.416666666417</v>
      </c>
      <c r="C107" s="52">
        <f t="shared" si="5"/>
        <v>4.4166666666666634</v>
      </c>
      <c r="D107" s="92">
        <f>Table110[[#This Row],[Fecha]]</f>
        <v>45447.416666666417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90"/>
      <c r="Q107" s="90"/>
      <c r="R107" s="93"/>
      <c r="S107" s="93"/>
    </row>
    <row r="108" spans="2:19" x14ac:dyDescent="0.25">
      <c r="B108" s="91">
        <f t="shared" si="4"/>
        <v>45447.458333333081</v>
      </c>
      <c r="C108" s="52">
        <f t="shared" si="5"/>
        <v>4.4583333333333304</v>
      </c>
      <c r="D108" s="92">
        <f>Table110[[#This Row],[Fecha]]</f>
        <v>45447.458333333081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90"/>
      <c r="Q108" s="90"/>
      <c r="R108" s="93"/>
      <c r="S108" s="93"/>
    </row>
    <row r="109" spans="2:19" x14ac:dyDescent="0.25">
      <c r="B109" s="91">
        <f t="shared" si="4"/>
        <v>45447.499999999745</v>
      </c>
      <c r="C109" s="52">
        <f t="shared" si="5"/>
        <v>4.4999999999999973</v>
      </c>
      <c r="D109" s="92">
        <f>Table110[[#This Row],[Fecha]]</f>
        <v>45447.499999999745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90"/>
      <c r="Q109" s="90"/>
      <c r="R109" s="93"/>
      <c r="S109" s="93"/>
    </row>
    <row r="110" spans="2:19" x14ac:dyDescent="0.25">
      <c r="B110" s="91">
        <f t="shared" si="4"/>
        <v>45447.54166666641</v>
      </c>
      <c r="C110" s="52">
        <f t="shared" si="5"/>
        <v>4.5416666666666643</v>
      </c>
      <c r="D110" s="92">
        <f>Table110[[#This Row],[Fecha]]</f>
        <v>45447.54166666641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90"/>
      <c r="Q110" s="90"/>
      <c r="R110" s="93"/>
      <c r="S110" s="93"/>
    </row>
    <row r="111" spans="2:19" x14ac:dyDescent="0.25">
      <c r="B111" s="91">
        <f t="shared" si="4"/>
        <v>45447.583333333074</v>
      </c>
      <c r="C111" s="52">
        <f t="shared" si="5"/>
        <v>4.5833333333333313</v>
      </c>
      <c r="D111" s="92">
        <f>Table110[[#This Row],[Fecha]]</f>
        <v>45447.583333333074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90"/>
      <c r="Q111" s="90"/>
      <c r="R111" s="93"/>
      <c r="S111" s="93"/>
    </row>
    <row r="112" spans="2:19" x14ac:dyDescent="0.25">
      <c r="B112" s="91">
        <f t="shared" si="4"/>
        <v>45447.624999999738</v>
      </c>
      <c r="C112" s="52">
        <f t="shared" si="5"/>
        <v>4.6249999999999982</v>
      </c>
      <c r="D112" s="92">
        <f>Table110[[#This Row],[Fecha]]</f>
        <v>45447.624999999738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90"/>
      <c r="Q112" s="90"/>
      <c r="R112" s="93"/>
      <c r="S112" s="93"/>
    </row>
    <row r="113" spans="2:19" x14ac:dyDescent="0.25">
      <c r="B113" s="91">
        <f t="shared" si="4"/>
        <v>45447.666666666402</v>
      </c>
      <c r="C113" s="52">
        <f t="shared" si="5"/>
        <v>4.6666666666666652</v>
      </c>
      <c r="D113" s="92">
        <f>Table110[[#This Row],[Fecha]]</f>
        <v>45447.666666666402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90"/>
      <c r="Q113" s="90"/>
      <c r="R113" s="93"/>
      <c r="S113" s="93"/>
    </row>
    <row r="114" spans="2:19" x14ac:dyDescent="0.25">
      <c r="B114" s="91">
        <f t="shared" si="4"/>
        <v>45447.708333333067</v>
      </c>
      <c r="C114" s="52">
        <f t="shared" si="5"/>
        <v>4.7083333333333321</v>
      </c>
      <c r="D114" s="92">
        <f>Table110[[#This Row],[Fecha]]</f>
        <v>45447.708333333067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90"/>
      <c r="Q114" s="90"/>
      <c r="R114" s="93"/>
      <c r="S114" s="93"/>
    </row>
    <row r="115" spans="2:19" x14ac:dyDescent="0.25">
      <c r="B115" s="91">
        <f t="shared" si="4"/>
        <v>45447.749999999731</v>
      </c>
      <c r="C115" s="52">
        <f t="shared" si="5"/>
        <v>4.7499999999999991</v>
      </c>
      <c r="D115" s="92">
        <f>Table110[[#This Row],[Fecha]]</f>
        <v>45447.749999999731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90"/>
      <c r="Q115" s="90"/>
      <c r="R115" s="93"/>
      <c r="S115" s="93"/>
    </row>
    <row r="116" spans="2:19" x14ac:dyDescent="0.25">
      <c r="B116" s="91">
        <f t="shared" si="4"/>
        <v>45447.791666666395</v>
      </c>
      <c r="C116" s="52">
        <f t="shared" si="5"/>
        <v>4.7916666666666661</v>
      </c>
      <c r="D116" s="92">
        <f>Table110[[#This Row],[Fecha]]</f>
        <v>45447.791666666395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90"/>
      <c r="Q116" s="90"/>
      <c r="R116" s="93"/>
      <c r="S116" s="93"/>
    </row>
    <row r="117" spans="2:19" x14ac:dyDescent="0.25">
      <c r="B117" s="91">
        <f t="shared" si="4"/>
        <v>45447.833333333059</v>
      </c>
      <c r="C117" s="52">
        <f t="shared" si="5"/>
        <v>4.833333333333333</v>
      </c>
      <c r="D117" s="92">
        <f>Table110[[#This Row],[Fecha]]</f>
        <v>45447.833333333059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90"/>
      <c r="Q117" s="90"/>
      <c r="R117" s="93"/>
      <c r="S117" s="93"/>
    </row>
    <row r="118" spans="2:19" x14ac:dyDescent="0.25">
      <c r="B118" s="91">
        <f t="shared" si="4"/>
        <v>45447.874999999724</v>
      </c>
      <c r="C118" s="52">
        <f t="shared" si="5"/>
        <v>4.875</v>
      </c>
      <c r="D118" s="92">
        <f>Table110[[#This Row],[Fecha]]</f>
        <v>45447.874999999724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90"/>
      <c r="Q118" s="90"/>
      <c r="R118" s="93"/>
      <c r="S118" s="93"/>
    </row>
    <row r="119" spans="2:19" x14ac:dyDescent="0.25">
      <c r="B119" s="91">
        <f t="shared" si="4"/>
        <v>45447.916666666388</v>
      </c>
      <c r="C119" s="52">
        <f t="shared" si="5"/>
        <v>4.916666666666667</v>
      </c>
      <c r="D119" s="92">
        <f>Table110[[#This Row],[Fecha]]</f>
        <v>45447.916666666388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90"/>
      <c r="Q119" s="90"/>
      <c r="R119" s="93"/>
      <c r="S119" s="93"/>
    </row>
    <row r="120" spans="2:19" x14ac:dyDescent="0.25">
      <c r="B120" s="91">
        <f t="shared" si="4"/>
        <v>45447.958333333052</v>
      </c>
      <c r="C120" s="52">
        <f t="shared" si="5"/>
        <v>4.9583333333333339</v>
      </c>
      <c r="D120" s="92">
        <f>Table110[[#This Row],[Fecha]]</f>
        <v>45447.958333333052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90"/>
      <c r="Q120" s="90"/>
      <c r="R120" s="93"/>
      <c r="S120" s="93"/>
    </row>
    <row r="121" spans="2:19" x14ac:dyDescent="0.25">
      <c r="B121" s="91">
        <f t="shared" si="4"/>
        <v>45447.999999999716</v>
      </c>
      <c r="C121" s="52">
        <f t="shared" si="5"/>
        <v>5.0000000000000009</v>
      </c>
      <c r="D121" s="92">
        <f>Table110[[#This Row],[Fecha]]</f>
        <v>45447.999999999716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90"/>
      <c r="Q121" s="90"/>
      <c r="R121" s="93"/>
      <c r="S121" s="93"/>
    </row>
    <row r="122" spans="2:19" x14ac:dyDescent="0.25">
      <c r="B122" s="91">
        <f t="shared" si="4"/>
        <v>45448.04166666638</v>
      </c>
      <c r="C122" s="52">
        <f t="shared" si="5"/>
        <v>5.0416666666666679</v>
      </c>
      <c r="D122" s="92">
        <f>Table110[[#This Row],[Fecha]]</f>
        <v>45448.04166666638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90"/>
      <c r="Q122" s="90"/>
      <c r="R122" s="93"/>
      <c r="S122" s="93"/>
    </row>
    <row r="123" spans="2:19" x14ac:dyDescent="0.25">
      <c r="B123" s="91">
        <f t="shared" si="4"/>
        <v>45448.083333333045</v>
      </c>
      <c r="C123" s="52">
        <f t="shared" si="5"/>
        <v>5.0833333333333348</v>
      </c>
      <c r="D123" s="92">
        <f>Table110[[#This Row],[Fecha]]</f>
        <v>45448.083333333045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90"/>
      <c r="Q123" s="90"/>
      <c r="R123" s="93"/>
      <c r="S123" s="93"/>
    </row>
    <row r="124" spans="2:19" x14ac:dyDescent="0.25">
      <c r="B124" s="91">
        <f t="shared" si="4"/>
        <v>45448.124999999709</v>
      </c>
      <c r="C124" s="52">
        <f t="shared" si="5"/>
        <v>5.1250000000000018</v>
      </c>
      <c r="D124" s="92">
        <f>Table110[[#This Row],[Fecha]]</f>
        <v>45448.124999999709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90"/>
      <c r="Q124" s="90"/>
      <c r="R124" s="93"/>
      <c r="S124" s="93"/>
    </row>
    <row r="125" spans="2:19" x14ac:dyDescent="0.25">
      <c r="B125" s="91">
        <f t="shared" si="4"/>
        <v>45448.166666666373</v>
      </c>
      <c r="C125" s="52">
        <f t="shared" si="5"/>
        <v>5.1666666666666687</v>
      </c>
      <c r="D125" s="92">
        <f>Table110[[#This Row],[Fecha]]</f>
        <v>45448.166666666373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90"/>
      <c r="Q125" s="90"/>
      <c r="R125" s="93"/>
      <c r="S125" s="93"/>
    </row>
    <row r="126" spans="2:19" x14ac:dyDescent="0.25">
      <c r="B126" s="91">
        <f t="shared" si="4"/>
        <v>45448.208333333037</v>
      </c>
      <c r="C126" s="52">
        <f t="shared" si="5"/>
        <v>5.2083333333333357</v>
      </c>
      <c r="D126" s="92">
        <f>Table110[[#This Row],[Fecha]]</f>
        <v>45448.208333333037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90"/>
      <c r="Q126" s="90"/>
      <c r="R126" s="93"/>
      <c r="S126" s="93"/>
    </row>
    <row r="127" spans="2:19" x14ac:dyDescent="0.25">
      <c r="B127" s="91">
        <f t="shared" si="4"/>
        <v>45448.249999999702</v>
      </c>
      <c r="C127" s="52">
        <f t="shared" si="5"/>
        <v>5.2500000000000027</v>
      </c>
      <c r="D127" s="92">
        <f>Table110[[#This Row],[Fecha]]</f>
        <v>45448.249999999702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90"/>
      <c r="Q127" s="90"/>
      <c r="R127" s="93"/>
      <c r="S127" s="93"/>
    </row>
    <row r="128" spans="2:19" x14ac:dyDescent="0.25">
      <c r="B128" s="91">
        <f t="shared" si="4"/>
        <v>45448.291666666366</v>
      </c>
      <c r="C128" s="52">
        <f t="shared" si="5"/>
        <v>5.2916666666666696</v>
      </c>
      <c r="D128" s="92">
        <f>Table110[[#This Row],[Fecha]]</f>
        <v>45448.291666666366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90"/>
      <c r="Q128" s="90"/>
      <c r="R128" s="93"/>
      <c r="S128" s="93"/>
    </row>
    <row r="129" spans="2:19" x14ac:dyDescent="0.25">
      <c r="B129" s="91">
        <f t="shared" si="4"/>
        <v>45448.33333333303</v>
      </c>
      <c r="C129" s="52">
        <f t="shared" si="5"/>
        <v>5.3333333333333366</v>
      </c>
      <c r="D129" s="92">
        <f>Table110[[#This Row],[Fecha]]</f>
        <v>45448.33333333303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90"/>
      <c r="Q129" s="90"/>
      <c r="R129" s="93"/>
      <c r="S129" s="93"/>
    </row>
    <row r="130" spans="2:19" x14ac:dyDescent="0.25">
      <c r="B130" s="91">
        <f t="shared" si="4"/>
        <v>45448.374999999694</v>
      </c>
      <c r="C130" s="52">
        <f t="shared" si="5"/>
        <v>5.3750000000000036</v>
      </c>
      <c r="D130" s="92">
        <f>Table110[[#This Row],[Fecha]]</f>
        <v>45448.374999999694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90"/>
      <c r="Q130" s="90"/>
      <c r="R130" s="93"/>
      <c r="S130" s="93"/>
    </row>
    <row r="131" spans="2:19" x14ac:dyDescent="0.25">
      <c r="B131" s="91">
        <f t="shared" si="4"/>
        <v>45448.416666666359</v>
      </c>
      <c r="C131" s="52">
        <f t="shared" si="5"/>
        <v>5.4166666666666705</v>
      </c>
      <c r="D131" s="92">
        <f>Table110[[#This Row],[Fecha]]</f>
        <v>45448.416666666359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90"/>
      <c r="Q131" s="90"/>
      <c r="R131" s="93"/>
      <c r="S131" s="93"/>
    </row>
    <row r="132" spans="2:19" x14ac:dyDescent="0.25">
      <c r="B132" s="91">
        <f t="shared" si="4"/>
        <v>45448.458333333023</v>
      </c>
      <c r="C132" s="52">
        <f t="shared" si="5"/>
        <v>5.4583333333333375</v>
      </c>
      <c r="D132" s="92">
        <f>Table110[[#This Row],[Fecha]]</f>
        <v>45448.458333333023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90"/>
      <c r="Q132" s="90"/>
      <c r="R132" s="93"/>
      <c r="S132" s="93"/>
    </row>
    <row r="133" spans="2:19" x14ac:dyDescent="0.25">
      <c r="B133" s="91">
        <f t="shared" ref="B133:B196" si="7">B132+TIME(1,0,0)</f>
        <v>45448.499999999687</v>
      </c>
      <c r="C133" s="52">
        <f t="shared" ref="C133:C196" si="8">C132+TIME(1,0,0)</f>
        <v>5.5000000000000044</v>
      </c>
      <c r="D133" s="92">
        <f>Table110[[#This Row],[Fecha]]</f>
        <v>45448.499999999687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90"/>
      <c r="Q133" s="90"/>
      <c r="R133" s="93"/>
      <c r="S133" s="93"/>
    </row>
    <row r="134" spans="2:19" x14ac:dyDescent="0.25">
      <c r="B134" s="91">
        <f t="shared" si="7"/>
        <v>45448.541666666351</v>
      </c>
      <c r="C134" s="52">
        <f t="shared" si="8"/>
        <v>5.5416666666666714</v>
      </c>
      <c r="D134" s="92">
        <f>Table110[[#This Row],[Fecha]]</f>
        <v>45448.541666666351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90"/>
      <c r="Q134" s="90"/>
      <c r="R134" s="93"/>
      <c r="S134" s="93"/>
    </row>
    <row r="135" spans="2:19" x14ac:dyDescent="0.25">
      <c r="B135" s="91">
        <f t="shared" si="7"/>
        <v>45448.583333333016</v>
      </c>
      <c r="C135" s="52">
        <f t="shared" si="8"/>
        <v>5.5833333333333384</v>
      </c>
      <c r="D135" s="92">
        <f>Table110[[#This Row],[Fecha]]</f>
        <v>45448.583333333016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90"/>
      <c r="Q135" s="90"/>
      <c r="R135" s="93"/>
      <c r="S135" s="93"/>
    </row>
    <row r="136" spans="2:19" x14ac:dyDescent="0.25">
      <c r="B136" s="91">
        <f t="shared" si="7"/>
        <v>45448.62499999968</v>
      </c>
      <c r="C136" s="52">
        <f t="shared" si="8"/>
        <v>5.6250000000000053</v>
      </c>
      <c r="D136" s="92">
        <f>Table110[[#This Row],[Fecha]]</f>
        <v>45448.62499999968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90"/>
      <c r="Q136" s="90"/>
      <c r="R136" s="93"/>
      <c r="S136" s="93"/>
    </row>
    <row r="137" spans="2:19" x14ac:dyDescent="0.25">
      <c r="B137" s="91">
        <f t="shared" si="7"/>
        <v>45448.666666666344</v>
      </c>
      <c r="C137" s="52">
        <f t="shared" si="8"/>
        <v>5.6666666666666723</v>
      </c>
      <c r="D137" s="92">
        <f>Table110[[#This Row],[Fecha]]</f>
        <v>45448.666666666344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90"/>
      <c r="Q137" s="90"/>
      <c r="R137" s="93"/>
      <c r="S137" s="93"/>
    </row>
    <row r="138" spans="2:19" x14ac:dyDescent="0.25">
      <c r="B138" s="91">
        <f t="shared" si="7"/>
        <v>45448.708333333008</v>
      </c>
      <c r="C138" s="52">
        <f t="shared" si="8"/>
        <v>5.7083333333333393</v>
      </c>
      <c r="D138" s="92">
        <f>Table110[[#This Row],[Fecha]]</f>
        <v>45448.708333333008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90"/>
      <c r="Q138" s="90"/>
      <c r="R138" s="93"/>
      <c r="S138" s="93"/>
    </row>
    <row r="139" spans="2:19" x14ac:dyDescent="0.25">
      <c r="B139" s="91">
        <f t="shared" si="7"/>
        <v>45448.749999999673</v>
      </c>
      <c r="C139" s="52">
        <f t="shared" si="8"/>
        <v>5.7500000000000062</v>
      </c>
      <c r="D139" s="92">
        <f>Table110[[#This Row],[Fecha]]</f>
        <v>45448.749999999673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90"/>
      <c r="Q139" s="90"/>
      <c r="R139" s="93"/>
      <c r="S139" s="93"/>
    </row>
    <row r="140" spans="2:19" x14ac:dyDescent="0.25">
      <c r="B140" s="91">
        <f t="shared" si="7"/>
        <v>45448.791666666337</v>
      </c>
      <c r="C140" s="52">
        <f t="shared" si="8"/>
        <v>5.7916666666666732</v>
      </c>
      <c r="D140" s="92">
        <f>Table110[[#This Row],[Fecha]]</f>
        <v>45448.791666666337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90"/>
      <c r="Q140" s="90"/>
      <c r="R140" s="93"/>
      <c r="S140" s="93"/>
    </row>
    <row r="141" spans="2:19" x14ac:dyDescent="0.25">
      <c r="B141" s="91">
        <f t="shared" si="7"/>
        <v>45448.833333333001</v>
      </c>
      <c r="C141" s="52">
        <f t="shared" si="8"/>
        <v>5.8333333333333401</v>
      </c>
      <c r="D141" s="92">
        <f>Table110[[#This Row],[Fecha]]</f>
        <v>45448.833333333001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90"/>
      <c r="Q141" s="90"/>
      <c r="R141" s="93"/>
      <c r="S141" s="93"/>
    </row>
    <row r="142" spans="2:19" x14ac:dyDescent="0.25">
      <c r="B142" s="91">
        <f t="shared" si="7"/>
        <v>45448.874999999665</v>
      </c>
      <c r="C142" s="52">
        <f t="shared" si="8"/>
        <v>5.8750000000000071</v>
      </c>
      <c r="D142" s="92">
        <f>Table110[[#This Row],[Fecha]]</f>
        <v>45448.874999999665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90"/>
      <c r="Q142" s="90"/>
      <c r="R142" s="93"/>
      <c r="S142" s="93"/>
    </row>
    <row r="143" spans="2:19" x14ac:dyDescent="0.25">
      <c r="B143" s="91">
        <f t="shared" si="7"/>
        <v>45448.91666666633</v>
      </c>
      <c r="C143" s="52">
        <f t="shared" si="8"/>
        <v>5.9166666666666741</v>
      </c>
      <c r="D143" s="92">
        <f>Table110[[#This Row],[Fecha]]</f>
        <v>45448.91666666633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90"/>
      <c r="Q143" s="90"/>
      <c r="R143" s="93"/>
      <c r="S143" s="93"/>
    </row>
    <row r="144" spans="2:19" x14ac:dyDescent="0.25">
      <c r="B144" s="91">
        <f t="shared" si="7"/>
        <v>45448.958333332994</v>
      </c>
      <c r="C144" s="52">
        <f t="shared" si="8"/>
        <v>5.958333333333341</v>
      </c>
      <c r="D144" s="92">
        <f>Table110[[#This Row],[Fecha]]</f>
        <v>45448.958333332994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90"/>
      <c r="Q144" s="90"/>
      <c r="R144" s="93"/>
      <c r="S144" s="93"/>
    </row>
    <row r="145" spans="2:19" x14ac:dyDescent="0.25">
      <c r="B145" s="91">
        <f t="shared" si="7"/>
        <v>45448.999999999658</v>
      </c>
      <c r="C145" s="52">
        <f t="shared" si="8"/>
        <v>6.000000000000008</v>
      </c>
      <c r="D145" s="92">
        <f>Table110[[#This Row],[Fecha]]</f>
        <v>45448.999999999658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90"/>
      <c r="Q145" s="90"/>
      <c r="R145" s="93"/>
      <c r="S145" s="93"/>
    </row>
    <row r="146" spans="2:19" x14ac:dyDescent="0.25">
      <c r="B146" s="91">
        <f t="shared" si="7"/>
        <v>45449.041666666322</v>
      </c>
      <c r="C146" s="52">
        <f t="shared" si="8"/>
        <v>6.041666666666675</v>
      </c>
      <c r="D146" s="92">
        <f>Table110[[#This Row],[Fecha]]</f>
        <v>45449.041666666322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90"/>
      <c r="Q146" s="90"/>
      <c r="R146" s="93"/>
      <c r="S146" s="93"/>
    </row>
    <row r="147" spans="2:19" x14ac:dyDescent="0.25">
      <c r="B147" s="91">
        <f t="shared" si="7"/>
        <v>45449.083333332987</v>
      </c>
      <c r="C147" s="52">
        <f t="shared" si="8"/>
        <v>6.0833333333333419</v>
      </c>
      <c r="D147" s="92">
        <f>Table110[[#This Row],[Fecha]]</f>
        <v>45449.083333332987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90"/>
      <c r="Q147" s="90"/>
      <c r="R147" s="93"/>
      <c r="S147" s="93"/>
    </row>
    <row r="148" spans="2:19" x14ac:dyDescent="0.25">
      <c r="B148" s="91">
        <f t="shared" si="7"/>
        <v>45449.124999999651</v>
      </c>
      <c r="C148" s="52">
        <f t="shared" si="8"/>
        <v>6.1250000000000089</v>
      </c>
      <c r="D148" s="92">
        <f>Table110[[#This Row],[Fecha]]</f>
        <v>45449.124999999651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90"/>
      <c r="Q148" s="90"/>
      <c r="R148" s="93"/>
      <c r="S148" s="93"/>
    </row>
    <row r="149" spans="2:19" x14ac:dyDescent="0.25">
      <c r="B149" s="91">
        <f t="shared" si="7"/>
        <v>45449.166666666315</v>
      </c>
      <c r="C149" s="52">
        <f t="shared" si="8"/>
        <v>6.1666666666666758</v>
      </c>
      <c r="D149" s="92">
        <f>Table110[[#This Row],[Fecha]]</f>
        <v>45449.166666666315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90"/>
      <c r="Q149" s="90"/>
      <c r="R149" s="93"/>
      <c r="S149" s="93"/>
    </row>
    <row r="150" spans="2:19" x14ac:dyDescent="0.25">
      <c r="B150" s="91">
        <f t="shared" si="7"/>
        <v>45449.208333332979</v>
      </c>
      <c r="C150" s="52">
        <f t="shared" si="8"/>
        <v>6.2083333333333428</v>
      </c>
      <c r="D150" s="92">
        <f>Table110[[#This Row],[Fecha]]</f>
        <v>45449.208333332979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90"/>
      <c r="Q150" s="90"/>
      <c r="R150" s="93"/>
      <c r="S150" s="93"/>
    </row>
    <row r="151" spans="2:19" x14ac:dyDescent="0.25">
      <c r="B151" s="91">
        <f t="shared" si="7"/>
        <v>45449.249999999643</v>
      </c>
      <c r="C151" s="52">
        <f t="shared" si="8"/>
        <v>6.2500000000000098</v>
      </c>
      <c r="D151" s="92">
        <f>Table110[[#This Row],[Fecha]]</f>
        <v>45449.249999999643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90"/>
      <c r="Q151" s="90"/>
      <c r="R151" s="93"/>
      <c r="S151" s="93"/>
    </row>
    <row r="152" spans="2:19" x14ac:dyDescent="0.25">
      <c r="B152" s="91">
        <f t="shared" si="7"/>
        <v>45449.291666666308</v>
      </c>
      <c r="C152" s="52">
        <f t="shared" si="8"/>
        <v>6.2916666666666767</v>
      </c>
      <c r="D152" s="92">
        <f>Table110[[#This Row],[Fecha]]</f>
        <v>45449.291666666308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90"/>
      <c r="Q152" s="90"/>
      <c r="R152" s="93"/>
      <c r="S152" s="93"/>
    </row>
    <row r="153" spans="2:19" x14ac:dyDescent="0.25">
      <c r="B153" s="91">
        <f t="shared" si="7"/>
        <v>45449.333333332972</v>
      </c>
      <c r="C153" s="52">
        <f t="shared" si="8"/>
        <v>6.3333333333333437</v>
      </c>
      <c r="D153" s="92">
        <f>Table110[[#This Row],[Fecha]]</f>
        <v>45449.333333332972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90"/>
      <c r="Q153" s="90"/>
      <c r="R153" s="93"/>
      <c r="S153" s="93"/>
    </row>
    <row r="154" spans="2:19" x14ac:dyDescent="0.25">
      <c r="B154" s="91">
        <f t="shared" si="7"/>
        <v>45449.374999999636</v>
      </c>
      <c r="C154" s="52">
        <f t="shared" si="8"/>
        <v>6.3750000000000107</v>
      </c>
      <c r="D154" s="92">
        <f>Table110[[#This Row],[Fecha]]</f>
        <v>45449.374999999636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90"/>
      <c r="Q154" s="90"/>
      <c r="R154" s="93"/>
      <c r="S154" s="93"/>
    </row>
    <row r="155" spans="2:19" x14ac:dyDescent="0.25">
      <c r="B155" s="91">
        <f t="shared" si="7"/>
        <v>45449.4166666663</v>
      </c>
      <c r="C155" s="52">
        <f t="shared" si="8"/>
        <v>6.4166666666666776</v>
      </c>
      <c r="D155" s="92">
        <f>Table110[[#This Row],[Fecha]]</f>
        <v>45449.4166666663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90"/>
      <c r="Q155" s="90"/>
      <c r="R155" s="93"/>
      <c r="S155" s="93"/>
    </row>
    <row r="156" spans="2:19" x14ac:dyDescent="0.25">
      <c r="B156" s="91">
        <f t="shared" si="7"/>
        <v>45449.458333332965</v>
      </c>
      <c r="C156" s="52">
        <f t="shared" si="8"/>
        <v>6.4583333333333446</v>
      </c>
      <c r="D156" s="92">
        <f>Table110[[#This Row],[Fecha]]</f>
        <v>45449.458333332965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90"/>
      <c r="Q156" s="90"/>
      <c r="R156" s="93"/>
      <c r="S156" s="93"/>
    </row>
    <row r="157" spans="2:19" x14ac:dyDescent="0.25">
      <c r="B157" s="91">
        <f t="shared" si="7"/>
        <v>45449.499999999629</v>
      </c>
      <c r="C157" s="52">
        <f t="shared" si="8"/>
        <v>6.5000000000000115</v>
      </c>
      <c r="D157" s="92">
        <f>Table110[[#This Row],[Fecha]]</f>
        <v>45449.499999999629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90"/>
      <c r="Q157" s="90"/>
      <c r="R157" s="93"/>
      <c r="S157" s="93"/>
    </row>
    <row r="158" spans="2:19" x14ac:dyDescent="0.25">
      <c r="B158" s="91">
        <f t="shared" si="7"/>
        <v>45449.541666666293</v>
      </c>
      <c r="C158" s="52">
        <f t="shared" si="8"/>
        <v>6.5416666666666785</v>
      </c>
      <c r="D158" s="92">
        <f>Table110[[#This Row],[Fecha]]</f>
        <v>45449.541666666293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90"/>
      <c r="Q158" s="90"/>
      <c r="R158" s="93"/>
      <c r="S158" s="93"/>
    </row>
    <row r="159" spans="2:19" x14ac:dyDescent="0.25">
      <c r="B159" s="91">
        <f t="shared" si="7"/>
        <v>45449.583333332957</v>
      </c>
      <c r="C159" s="52">
        <f t="shared" si="8"/>
        <v>6.5833333333333455</v>
      </c>
      <c r="D159" s="92">
        <f>Table110[[#This Row],[Fecha]]</f>
        <v>45449.583333332957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90"/>
      <c r="Q159" s="90"/>
      <c r="R159" s="93"/>
      <c r="S159" s="93"/>
    </row>
    <row r="160" spans="2:19" x14ac:dyDescent="0.25">
      <c r="B160" s="91">
        <f t="shared" si="7"/>
        <v>45449.624999999622</v>
      </c>
      <c r="C160" s="52">
        <f t="shared" si="8"/>
        <v>6.6250000000000124</v>
      </c>
      <c r="D160" s="92">
        <f>Table110[[#This Row],[Fecha]]</f>
        <v>45449.624999999622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90"/>
      <c r="Q160" s="90"/>
      <c r="R160" s="93"/>
      <c r="S160" s="93"/>
    </row>
    <row r="161" spans="2:19" x14ac:dyDescent="0.25">
      <c r="B161" s="91">
        <f t="shared" si="7"/>
        <v>45449.666666666286</v>
      </c>
      <c r="C161" s="52">
        <f t="shared" si="8"/>
        <v>6.6666666666666794</v>
      </c>
      <c r="D161" s="92">
        <f>Table110[[#This Row],[Fecha]]</f>
        <v>45449.666666666286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90"/>
      <c r="Q161" s="90"/>
      <c r="R161" s="93"/>
      <c r="S161" s="93"/>
    </row>
    <row r="162" spans="2:19" x14ac:dyDescent="0.25">
      <c r="B162" s="91">
        <f t="shared" si="7"/>
        <v>45449.70833333295</v>
      </c>
      <c r="C162" s="52">
        <f t="shared" si="8"/>
        <v>6.7083333333333464</v>
      </c>
      <c r="D162" s="92">
        <f>Table110[[#This Row],[Fecha]]</f>
        <v>45449.70833333295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90"/>
      <c r="Q162" s="90"/>
      <c r="R162" s="93"/>
      <c r="S162" s="93"/>
    </row>
    <row r="163" spans="2:19" x14ac:dyDescent="0.25">
      <c r="B163" s="91">
        <f t="shared" si="7"/>
        <v>45449.749999999614</v>
      </c>
      <c r="C163" s="52">
        <f t="shared" si="8"/>
        <v>6.7500000000000133</v>
      </c>
      <c r="D163" s="92">
        <f>Table110[[#This Row],[Fecha]]</f>
        <v>45449.749999999614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90"/>
      <c r="Q163" s="90"/>
      <c r="R163" s="93"/>
      <c r="S163" s="93"/>
    </row>
    <row r="164" spans="2:19" x14ac:dyDescent="0.25">
      <c r="B164" s="91">
        <f t="shared" si="7"/>
        <v>45449.791666666279</v>
      </c>
      <c r="C164" s="52">
        <f t="shared" si="8"/>
        <v>6.7916666666666803</v>
      </c>
      <c r="D164" s="92">
        <f>Table110[[#This Row],[Fecha]]</f>
        <v>45449.791666666279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90"/>
      <c r="Q164" s="90"/>
      <c r="R164" s="93"/>
      <c r="S164" s="93"/>
    </row>
    <row r="165" spans="2:19" x14ac:dyDescent="0.25">
      <c r="B165" s="91">
        <f t="shared" si="7"/>
        <v>45449.833333332943</v>
      </c>
      <c r="C165" s="52">
        <f t="shared" si="8"/>
        <v>6.8333333333333472</v>
      </c>
      <c r="D165" s="92">
        <f>Table110[[#This Row],[Fecha]]</f>
        <v>45449.833333332943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90"/>
      <c r="Q165" s="90"/>
      <c r="R165" s="93"/>
      <c r="S165" s="93"/>
    </row>
    <row r="166" spans="2:19" x14ac:dyDescent="0.25">
      <c r="B166" s="91">
        <f t="shared" si="7"/>
        <v>45449.874999999607</v>
      </c>
      <c r="C166" s="52">
        <f t="shared" si="8"/>
        <v>6.8750000000000142</v>
      </c>
      <c r="D166" s="92">
        <f>Table110[[#This Row],[Fecha]]</f>
        <v>45449.874999999607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90"/>
      <c r="Q166" s="90"/>
      <c r="R166" s="93"/>
      <c r="S166" s="93"/>
    </row>
    <row r="167" spans="2:19" x14ac:dyDescent="0.25">
      <c r="B167" s="91">
        <f t="shared" si="7"/>
        <v>45449.916666666271</v>
      </c>
      <c r="C167" s="52">
        <f t="shared" si="8"/>
        <v>6.9166666666666812</v>
      </c>
      <c r="D167" s="92">
        <f>Table110[[#This Row],[Fecha]]</f>
        <v>45449.916666666271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90"/>
      <c r="Q167" s="90"/>
      <c r="R167" s="93"/>
      <c r="S167" s="93"/>
    </row>
    <row r="168" spans="2:19" x14ac:dyDescent="0.25">
      <c r="B168" s="91">
        <f t="shared" si="7"/>
        <v>45449.958333332936</v>
      </c>
      <c r="C168" s="52">
        <f t="shared" si="8"/>
        <v>6.9583333333333481</v>
      </c>
      <c r="D168" s="92">
        <f>Table110[[#This Row],[Fecha]]</f>
        <v>45449.958333332936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90"/>
      <c r="Q168" s="90"/>
      <c r="R168" s="93"/>
      <c r="S168" s="93"/>
    </row>
    <row r="169" spans="2:19" x14ac:dyDescent="0.25">
      <c r="B169" s="91">
        <f t="shared" si="7"/>
        <v>45449.9999999996</v>
      </c>
      <c r="C169" s="52">
        <f t="shared" si="8"/>
        <v>7.0000000000000151</v>
      </c>
      <c r="D169" s="92">
        <f>Table110[[#This Row],[Fecha]]</f>
        <v>45449.9999999996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90"/>
      <c r="Q169" s="90"/>
      <c r="R169" s="93"/>
      <c r="S169" s="93"/>
    </row>
    <row r="170" spans="2:19" x14ac:dyDescent="0.25">
      <c r="B170" s="91">
        <f t="shared" si="7"/>
        <v>45450.041666666264</v>
      </c>
      <c r="C170" s="52">
        <f t="shared" si="8"/>
        <v>7.0416666666666821</v>
      </c>
      <c r="D170" s="92">
        <f>Table110[[#This Row],[Fecha]]</f>
        <v>45450.041666666264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90"/>
      <c r="Q170" s="90"/>
      <c r="R170" s="93"/>
      <c r="S170" s="93"/>
    </row>
    <row r="171" spans="2:19" x14ac:dyDescent="0.25">
      <c r="B171" s="91">
        <f t="shared" si="7"/>
        <v>45450.083333332928</v>
      </c>
      <c r="C171" s="52">
        <f t="shared" si="8"/>
        <v>7.083333333333349</v>
      </c>
      <c r="D171" s="92">
        <f>Table110[[#This Row],[Fecha]]</f>
        <v>45450.083333332928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90"/>
      <c r="Q171" s="90"/>
      <c r="R171" s="93"/>
      <c r="S171" s="93"/>
    </row>
    <row r="172" spans="2:19" x14ac:dyDescent="0.25">
      <c r="B172" s="91">
        <f t="shared" si="7"/>
        <v>45450.124999999593</v>
      </c>
      <c r="C172" s="52">
        <f t="shared" si="8"/>
        <v>7.125000000000016</v>
      </c>
      <c r="D172" s="92">
        <f>Table110[[#This Row],[Fecha]]</f>
        <v>45450.124999999593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90"/>
      <c r="Q172" s="90"/>
      <c r="R172" s="93"/>
      <c r="S172" s="93"/>
    </row>
    <row r="173" spans="2:19" x14ac:dyDescent="0.25">
      <c r="B173" s="91">
        <f t="shared" si="7"/>
        <v>45450.166666666257</v>
      </c>
      <c r="C173" s="52">
        <f t="shared" si="8"/>
        <v>7.1666666666666829</v>
      </c>
      <c r="D173" s="92">
        <f>Table110[[#This Row],[Fecha]]</f>
        <v>45450.166666666257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90"/>
      <c r="Q173" s="90"/>
      <c r="R173" s="93"/>
      <c r="S173" s="93"/>
    </row>
    <row r="174" spans="2:19" x14ac:dyDescent="0.25">
      <c r="B174" s="91">
        <f t="shared" si="7"/>
        <v>45450.208333332921</v>
      </c>
      <c r="C174" s="52">
        <f t="shared" si="8"/>
        <v>7.2083333333333499</v>
      </c>
      <c r="D174" s="92">
        <f>Table110[[#This Row],[Fecha]]</f>
        <v>45450.208333332921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90"/>
      <c r="Q174" s="90"/>
      <c r="R174" s="93"/>
      <c r="S174" s="93"/>
    </row>
    <row r="175" spans="2:19" x14ac:dyDescent="0.25">
      <c r="B175" s="91">
        <f t="shared" si="7"/>
        <v>45450.249999999585</v>
      </c>
      <c r="C175" s="52">
        <f t="shared" si="8"/>
        <v>7.2500000000000169</v>
      </c>
      <c r="D175" s="92">
        <f>Table110[[#This Row],[Fecha]]</f>
        <v>45450.249999999585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90"/>
      <c r="Q175" s="90"/>
      <c r="R175" s="93"/>
      <c r="S175" s="93"/>
    </row>
    <row r="176" spans="2:19" x14ac:dyDescent="0.25">
      <c r="B176" s="91">
        <f t="shared" si="7"/>
        <v>45450.29166666625</v>
      </c>
      <c r="C176" s="52">
        <f t="shared" si="8"/>
        <v>7.2916666666666838</v>
      </c>
      <c r="D176" s="92">
        <f>Table110[[#This Row],[Fecha]]</f>
        <v>45450.29166666625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90"/>
      <c r="Q176" s="90"/>
      <c r="R176" s="93"/>
      <c r="S176" s="93"/>
    </row>
    <row r="177" spans="2:19" x14ac:dyDescent="0.25">
      <c r="B177" s="91">
        <f t="shared" si="7"/>
        <v>45450.333333332914</v>
      </c>
      <c r="C177" s="52">
        <f t="shared" si="8"/>
        <v>7.3333333333333508</v>
      </c>
      <c r="D177" s="92">
        <f>Table110[[#This Row],[Fecha]]</f>
        <v>45450.333333332914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90"/>
      <c r="Q177" s="90"/>
      <c r="R177" s="93"/>
      <c r="S177" s="93"/>
    </row>
    <row r="178" spans="2:19" x14ac:dyDescent="0.25">
      <c r="B178" s="91">
        <f t="shared" si="7"/>
        <v>45450.374999999578</v>
      </c>
      <c r="C178" s="52">
        <f t="shared" si="8"/>
        <v>7.3750000000000178</v>
      </c>
      <c r="D178" s="92">
        <f>Table110[[#This Row],[Fecha]]</f>
        <v>45450.374999999578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90"/>
      <c r="Q178" s="90"/>
      <c r="R178" s="93"/>
      <c r="S178" s="93"/>
    </row>
    <row r="179" spans="2:19" x14ac:dyDescent="0.25">
      <c r="B179" s="91">
        <f t="shared" si="7"/>
        <v>45450.416666666242</v>
      </c>
      <c r="C179" s="52">
        <f t="shared" si="8"/>
        <v>7.4166666666666847</v>
      </c>
      <c r="D179" s="92">
        <f>Table110[[#This Row],[Fecha]]</f>
        <v>45450.416666666242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90"/>
      <c r="Q179" s="90"/>
      <c r="R179" s="93"/>
      <c r="S179" s="93"/>
    </row>
    <row r="180" spans="2:19" x14ac:dyDescent="0.25">
      <c r="B180" s="91">
        <f t="shared" si="7"/>
        <v>45450.458333332906</v>
      </c>
      <c r="C180" s="52">
        <f t="shared" si="8"/>
        <v>7.4583333333333517</v>
      </c>
      <c r="D180" s="92">
        <f>Table110[[#This Row],[Fecha]]</f>
        <v>45450.458333332906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90"/>
      <c r="Q180" s="90"/>
      <c r="R180" s="93"/>
      <c r="S180" s="93"/>
    </row>
    <row r="181" spans="2:19" x14ac:dyDescent="0.25">
      <c r="B181" s="91">
        <f t="shared" si="7"/>
        <v>45450.499999999571</v>
      </c>
      <c r="C181" s="52">
        <f t="shared" si="8"/>
        <v>7.5000000000000187</v>
      </c>
      <c r="D181" s="92">
        <f>Table110[[#This Row],[Fecha]]</f>
        <v>45450.499999999571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90"/>
      <c r="Q181" s="90"/>
      <c r="R181" s="93"/>
      <c r="S181" s="93"/>
    </row>
    <row r="182" spans="2:19" x14ac:dyDescent="0.25">
      <c r="B182" s="91">
        <f t="shared" si="7"/>
        <v>45450.541666666235</v>
      </c>
      <c r="C182" s="52">
        <f t="shared" si="8"/>
        <v>7.5416666666666856</v>
      </c>
      <c r="D182" s="92">
        <f>Table110[[#This Row],[Fecha]]</f>
        <v>45450.541666666235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90"/>
      <c r="Q182" s="90"/>
      <c r="R182" s="93"/>
      <c r="S182" s="93"/>
    </row>
    <row r="183" spans="2:19" x14ac:dyDescent="0.25">
      <c r="B183" s="91">
        <f t="shared" si="7"/>
        <v>45450.583333332899</v>
      </c>
      <c r="C183" s="52">
        <f t="shared" si="8"/>
        <v>7.5833333333333526</v>
      </c>
      <c r="D183" s="92">
        <f>Table110[[#This Row],[Fecha]]</f>
        <v>45450.583333332899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90"/>
      <c r="Q183" s="90"/>
      <c r="R183" s="93"/>
      <c r="S183" s="93"/>
    </row>
    <row r="184" spans="2:19" x14ac:dyDescent="0.25">
      <c r="B184" s="91">
        <f t="shared" si="7"/>
        <v>45450.624999999563</v>
      </c>
      <c r="C184" s="52">
        <f t="shared" si="8"/>
        <v>7.6250000000000195</v>
      </c>
      <c r="D184" s="92">
        <f>Table110[[#This Row],[Fecha]]</f>
        <v>45450.624999999563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90"/>
      <c r="Q184" s="90"/>
      <c r="R184" s="93"/>
      <c r="S184" s="93"/>
    </row>
    <row r="185" spans="2:19" x14ac:dyDescent="0.25">
      <c r="B185" s="91">
        <f t="shared" si="7"/>
        <v>45450.666666666228</v>
      </c>
      <c r="C185" s="52">
        <f t="shared" si="8"/>
        <v>7.6666666666666865</v>
      </c>
      <c r="D185" s="92">
        <f>Table110[[#This Row],[Fecha]]</f>
        <v>45450.666666666228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90"/>
      <c r="Q185" s="90"/>
      <c r="R185" s="93"/>
      <c r="S185" s="93"/>
    </row>
    <row r="186" spans="2:19" x14ac:dyDescent="0.25">
      <c r="B186" s="91">
        <f t="shared" si="7"/>
        <v>45450.708333332892</v>
      </c>
      <c r="C186" s="52">
        <f t="shared" si="8"/>
        <v>7.7083333333333535</v>
      </c>
      <c r="D186" s="92">
        <f>Table110[[#This Row],[Fecha]]</f>
        <v>45450.708333332892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90"/>
      <c r="Q186" s="90"/>
      <c r="R186" s="93"/>
      <c r="S186" s="93"/>
    </row>
    <row r="187" spans="2:19" x14ac:dyDescent="0.25">
      <c r="B187" s="91">
        <f t="shared" si="7"/>
        <v>45450.749999999556</v>
      </c>
      <c r="C187" s="52">
        <f t="shared" si="8"/>
        <v>7.7500000000000204</v>
      </c>
      <c r="D187" s="92">
        <f>Table110[[#This Row],[Fecha]]</f>
        <v>45450.749999999556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90"/>
      <c r="Q187" s="90"/>
      <c r="R187" s="93"/>
      <c r="S187" s="93"/>
    </row>
    <row r="188" spans="2:19" x14ac:dyDescent="0.25">
      <c r="B188" s="91">
        <f t="shared" si="7"/>
        <v>45450.79166666622</v>
      </c>
      <c r="C188" s="52">
        <f t="shared" si="8"/>
        <v>7.7916666666666874</v>
      </c>
      <c r="D188" s="92">
        <f>Table110[[#This Row],[Fecha]]</f>
        <v>45450.79166666622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90"/>
      <c r="Q188" s="90"/>
      <c r="R188" s="93"/>
      <c r="S188" s="93"/>
    </row>
    <row r="189" spans="2:19" x14ac:dyDescent="0.25">
      <c r="B189" s="91">
        <f t="shared" si="7"/>
        <v>45450.833333332885</v>
      </c>
      <c r="C189" s="52">
        <f t="shared" si="8"/>
        <v>7.8333333333333544</v>
      </c>
      <c r="D189" s="92">
        <f>Table110[[#This Row],[Fecha]]</f>
        <v>45450.833333332885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90"/>
      <c r="Q189" s="90"/>
      <c r="R189" s="93"/>
      <c r="S189" s="93"/>
    </row>
    <row r="190" spans="2:19" x14ac:dyDescent="0.25">
      <c r="B190" s="91">
        <f t="shared" si="7"/>
        <v>45450.874999999549</v>
      </c>
      <c r="C190" s="52">
        <f t="shared" si="8"/>
        <v>7.8750000000000213</v>
      </c>
      <c r="D190" s="92">
        <f>Table110[[#This Row],[Fecha]]</f>
        <v>45450.874999999549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90"/>
      <c r="Q190" s="90"/>
      <c r="R190" s="93"/>
      <c r="S190" s="93"/>
    </row>
    <row r="191" spans="2:19" x14ac:dyDescent="0.25">
      <c r="B191" s="91">
        <f t="shared" si="7"/>
        <v>45450.916666666213</v>
      </c>
      <c r="C191" s="52">
        <f t="shared" si="8"/>
        <v>7.9166666666666883</v>
      </c>
      <c r="D191" s="92">
        <f>Table110[[#This Row],[Fecha]]</f>
        <v>45450.916666666213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90"/>
      <c r="Q191" s="90"/>
      <c r="R191" s="93"/>
      <c r="S191" s="93"/>
    </row>
    <row r="192" spans="2:19" x14ac:dyDescent="0.25">
      <c r="B192" s="91">
        <f t="shared" si="7"/>
        <v>45450.958333332877</v>
      </c>
      <c r="C192" s="52">
        <f t="shared" si="8"/>
        <v>7.9583333333333552</v>
      </c>
      <c r="D192" s="92">
        <f>Table110[[#This Row],[Fecha]]</f>
        <v>45450.958333332877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90"/>
      <c r="Q192" s="90"/>
      <c r="R192" s="93"/>
      <c r="S192" s="93"/>
    </row>
    <row r="193" spans="2:19" x14ac:dyDescent="0.25">
      <c r="B193" s="91">
        <f t="shared" si="7"/>
        <v>45450.999999999542</v>
      </c>
      <c r="C193" s="52">
        <f t="shared" si="8"/>
        <v>8.0000000000000213</v>
      </c>
      <c r="D193" s="92">
        <f>Table110[[#This Row],[Fecha]]</f>
        <v>45450.999999999542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90"/>
      <c r="Q193" s="90"/>
      <c r="R193" s="93"/>
      <c r="S193" s="93"/>
    </row>
    <row r="194" spans="2:19" x14ac:dyDescent="0.25">
      <c r="B194" s="91">
        <f t="shared" si="7"/>
        <v>45451.041666666206</v>
      </c>
      <c r="C194" s="52">
        <f t="shared" si="8"/>
        <v>8.0416666666666874</v>
      </c>
      <c r="D194" s="92">
        <f>Table110[[#This Row],[Fecha]]</f>
        <v>45451.041666666206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90"/>
      <c r="Q194" s="90"/>
      <c r="R194" s="93"/>
      <c r="S194" s="93"/>
    </row>
    <row r="195" spans="2:19" x14ac:dyDescent="0.25">
      <c r="B195" s="91">
        <f t="shared" si="7"/>
        <v>45451.08333333287</v>
      </c>
      <c r="C195" s="52">
        <f t="shared" si="8"/>
        <v>8.0833333333333535</v>
      </c>
      <c r="D195" s="92">
        <f>Table110[[#This Row],[Fecha]]</f>
        <v>45451.08333333287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90"/>
      <c r="Q195" s="90"/>
      <c r="R195" s="93"/>
      <c r="S195" s="93"/>
    </row>
    <row r="196" spans="2:19" x14ac:dyDescent="0.25">
      <c r="B196" s="91">
        <f t="shared" si="7"/>
        <v>45451.124999999534</v>
      </c>
      <c r="C196" s="52">
        <f t="shared" si="8"/>
        <v>8.1250000000000195</v>
      </c>
      <c r="D196" s="92">
        <f>Table110[[#This Row],[Fecha]]</f>
        <v>45451.124999999534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90"/>
      <c r="Q196" s="90"/>
      <c r="R196" s="93"/>
      <c r="S196" s="93"/>
    </row>
    <row r="197" spans="2:19" x14ac:dyDescent="0.25">
      <c r="B197" s="91">
        <f t="shared" ref="B197:B228" si="10">B196+TIME(1,0,0)</f>
        <v>45451.166666666199</v>
      </c>
      <c r="C197" s="52">
        <f t="shared" ref="C197:C228" si="11">C196+TIME(1,0,0)</f>
        <v>8.1666666666666856</v>
      </c>
      <c r="D197" s="92">
        <f>Table110[[#This Row],[Fecha]]</f>
        <v>45451.166666666199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90"/>
      <c r="Q197" s="90"/>
      <c r="R197" s="93"/>
      <c r="S197" s="93"/>
    </row>
    <row r="198" spans="2:19" x14ac:dyDescent="0.25">
      <c r="B198" s="91">
        <f t="shared" si="10"/>
        <v>45451.208333332863</v>
      </c>
      <c r="C198" s="52">
        <f t="shared" si="11"/>
        <v>8.2083333333333517</v>
      </c>
      <c r="D198" s="92">
        <f>Table110[[#This Row],[Fecha]]</f>
        <v>45451.208333332863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90"/>
      <c r="Q198" s="90"/>
      <c r="R198" s="93"/>
      <c r="S198" s="93"/>
    </row>
    <row r="199" spans="2:19" x14ac:dyDescent="0.25">
      <c r="B199" s="91">
        <f t="shared" si="10"/>
        <v>45451.249999999527</v>
      </c>
      <c r="C199" s="52">
        <f t="shared" si="11"/>
        <v>8.2500000000000178</v>
      </c>
      <c r="D199" s="92">
        <f>Table110[[#This Row],[Fecha]]</f>
        <v>45451.249999999527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90"/>
      <c r="Q199" s="90"/>
      <c r="R199" s="93"/>
      <c r="S199" s="93"/>
    </row>
    <row r="200" spans="2:19" x14ac:dyDescent="0.25">
      <c r="B200" s="91">
        <f t="shared" si="10"/>
        <v>45451.291666666191</v>
      </c>
      <c r="C200" s="52">
        <f t="shared" si="11"/>
        <v>8.2916666666666838</v>
      </c>
      <c r="D200" s="92">
        <f>Table110[[#This Row],[Fecha]]</f>
        <v>45451.291666666191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90"/>
      <c r="Q200" s="90"/>
      <c r="R200" s="93"/>
      <c r="S200" s="93"/>
    </row>
    <row r="201" spans="2:19" x14ac:dyDescent="0.25">
      <c r="B201" s="91">
        <f t="shared" si="10"/>
        <v>45451.333333332856</v>
      </c>
      <c r="C201" s="52">
        <f t="shared" si="11"/>
        <v>8.3333333333333499</v>
      </c>
      <c r="D201" s="92">
        <f>Table110[[#This Row],[Fecha]]</f>
        <v>45451.333333332856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90"/>
      <c r="Q201" s="90"/>
      <c r="R201" s="93"/>
      <c r="S201" s="93"/>
    </row>
    <row r="202" spans="2:19" x14ac:dyDescent="0.25">
      <c r="B202" s="91">
        <f t="shared" si="10"/>
        <v>45451.37499999952</v>
      </c>
      <c r="C202" s="52">
        <f t="shared" si="11"/>
        <v>8.375000000000016</v>
      </c>
      <c r="D202" s="92">
        <f>Table110[[#This Row],[Fecha]]</f>
        <v>45451.37499999952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90"/>
      <c r="Q202" s="90"/>
      <c r="R202" s="93"/>
      <c r="S202" s="93"/>
    </row>
    <row r="203" spans="2:19" x14ac:dyDescent="0.25">
      <c r="B203" s="91">
        <f t="shared" si="10"/>
        <v>45451.416666666184</v>
      </c>
      <c r="C203" s="52">
        <f t="shared" si="11"/>
        <v>8.4166666666666821</v>
      </c>
      <c r="D203" s="92">
        <f>Table110[[#This Row],[Fecha]]</f>
        <v>45451.416666666184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90"/>
      <c r="Q203" s="90"/>
      <c r="R203" s="93"/>
      <c r="S203" s="93"/>
    </row>
    <row r="204" spans="2:19" x14ac:dyDescent="0.25">
      <c r="B204" s="91">
        <f t="shared" si="10"/>
        <v>45451.458333332848</v>
      </c>
      <c r="C204" s="52">
        <f t="shared" si="11"/>
        <v>8.4583333333333481</v>
      </c>
      <c r="D204" s="92">
        <f>Table110[[#This Row],[Fecha]]</f>
        <v>45451.458333332848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90"/>
      <c r="Q204" s="90"/>
      <c r="R204" s="93"/>
      <c r="S204" s="93"/>
    </row>
    <row r="205" spans="2:19" x14ac:dyDescent="0.25">
      <c r="B205" s="91">
        <f t="shared" si="10"/>
        <v>45451.499999999513</v>
      </c>
      <c r="C205" s="52">
        <f t="shared" si="11"/>
        <v>8.5000000000000142</v>
      </c>
      <c r="D205" s="92">
        <f>Table110[[#This Row],[Fecha]]</f>
        <v>45451.499999999513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90"/>
      <c r="Q205" s="90"/>
      <c r="R205" s="93"/>
      <c r="S205" s="93"/>
    </row>
    <row r="206" spans="2:19" x14ac:dyDescent="0.25">
      <c r="B206" s="91">
        <f t="shared" si="10"/>
        <v>45451.541666666177</v>
      </c>
      <c r="C206" s="52">
        <f t="shared" si="11"/>
        <v>8.5416666666666803</v>
      </c>
      <c r="D206" s="92">
        <f>Table110[[#This Row],[Fecha]]</f>
        <v>45451.541666666177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90"/>
      <c r="Q206" s="90"/>
      <c r="R206" s="93"/>
      <c r="S206" s="93"/>
    </row>
    <row r="207" spans="2:19" x14ac:dyDescent="0.25">
      <c r="B207" s="91">
        <f t="shared" si="10"/>
        <v>45451.583333332841</v>
      </c>
      <c r="C207" s="52">
        <f t="shared" si="11"/>
        <v>8.5833333333333464</v>
      </c>
      <c r="D207" s="92">
        <f>Table110[[#This Row],[Fecha]]</f>
        <v>45451.583333332841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90"/>
      <c r="Q207" s="90"/>
      <c r="R207" s="93"/>
      <c r="S207" s="93"/>
    </row>
    <row r="208" spans="2:19" x14ac:dyDescent="0.25">
      <c r="B208" s="91">
        <f t="shared" si="10"/>
        <v>45451.624999999505</v>
      </c>
      <c r="C208" s="52">
        <f t="shared" si="11"/>
        <v>8.6250000000000124</v>
      </c>
      <c r="D208" s="92">
        <f>Table110[[#This Row],[Fecha]]</f>
        <v>45451.624999999505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90"/>
      <c r="Q208" s="90"/>
      <c r="R208" s="93"/>
      <c r="S208" s="93"/>
    </row>
    <row r="209" spans="2:19" x14ac:dyDescent="0.25">
      <c r="B209" s="91">
        <f t="shared" si="10"/>
        <v>45451.666666666169</v>
      </c>
      <c r="C209" s="52">
        <f t="shared" si="11"/>
        <v>8.6666666666666785</v>
      </c>
      <c r="D209" s="92">
        <f>Table110[[#This Row],[Fecha]]</f>
        <v>45451.666666666169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90"/>
      <c r="Q209" s="90"/>
      <c r="R209" s="93"/>
      <c r="S209" s="93"/>
    </row>
    <row r="210" spans="2:19" x14ac:dyDescent="0.25">
      <c r="B210" s="91">
        <f t="shared" si="10"/>
        <v>45451.708333332834</v>
      </c>
      <c r="C210" s="52">
        <f t="shared" si="11"/>
        <v>8.7083333333333446</v>
      </c>
      <c r="D210" s="92">
        <f>Table110[[#This Row],[Fecha]]</f>
        <v>45451.708333332834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90"/>
      <c r="Q210" s="90"/>
      <c r="R210" s="93"/>
      <c r="S210" s="93"/>
    </row>
    <row r="211" spans="2:19" x14ac:dyDescent="0.25">
      <c r="B211" s="91">
        <f t="shared" si="10"/>
        <v>45451.749999999498</v>
      </c>
      <c r="C211" s="52">
        <f t="shared" si="11"/>
        <v>8.7500000000000107</v>
      </c>
      <c r="D211" s="92">
        <f>Table110[[#This Row],[Fecha]]</f>
        <v>45451.749999999498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90"/>
      <c r="Q211" s="90"/>
      <c r="R211" s="93"/>
      <c r="S211" s="93"/>
    </row>
    <row r="212" spans="2:19" x14ac:dyDescent="0.25">
      <c r="B212" s="91">
        <f t="shared" si="10"/>
        <v>45451.791666666162</v>
      </c>
      <c r="C212" s="52">
        <f t="shared" si="11"/>
        <v>8.7916666666666767</v>
      </c>
      <c r="D212" s="92">
        <f>Table110[[#This Row],[Fecha]]</f>
        <v>45451.791666666162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90"/>
      <c r="Q212" s="90"/>
      <c r="R212" s="93"/>
      <c r="S212" s="93"/>
    </row>
    <row r="213" spans="2:19" x14ac:dyDescent="0.25">
      <c r="B213" s="91">
        <f t="shared" si="10"/>
        <v>45451.833333332826</v>
      </c>
      <c r="C213" s="52">
        <f t="shared" si="11"/>
        <v>8.8333333333333428</v>
      </c>
      <c r="D213" s="92">
        <f>Table110[[#This Row],[Fecha]]</f>
        <v>45451.833333332826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90"/>
      <c r="Q213" s="90"/>
      <c r="R213" s="93"/>
      <c r="S213" s="93"/>
    </row>
    <row r="214" spans="2:19" x14ac:dyDescent="0.25">
      <c r="B214" s="91">
        <f t="shared" si="10"/>
        <v>45451.874999999491</v>
      </c>
      <c r="C214" s="52">
        <f t="shared" si="11"/>
        <v>8.8750000000000089</v>
      </c>
      <c r="D214" s="92">
        <f>Table110[[#This Row],[Fecha]]</f>
        <v>45451.874999999491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90"/>
      <c r="Q214" s="90"/>
      <c r="R214" s="93"/>
      <c r="S214" s="93"/>
    </row>
    <row r="215" spans="2:19" x14ac:dyDescent="0.25">
      <c r="B215" s="91">
        <f t="shared" si="10"/>
        <v>45451.916666666155</v>
      </c>
      <c r="C215" s="52">
        <f t="shared" si="11"/>
        <v>8.916666666666675</v>
      </c>
      <c r="D215" s="92">
        <f>Table110[[#This Row],[Fecha]]</f>
        <v>45451.916666666155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90"/>
      <c r="Q215" s="90"/>
      <c r="R215" s="93"/>
      <c r="S215" s="93"/>
    </row>
    <row r="216" spans="2:19" x14ac:dyDescent="0.25">
      <c r="B216" s="91">
        <f t="shared" si="10"/>
        <v>45451.958333332819</v>
      </c>
      <c r="C216" s="52">
        <f t="shared" si="11"/>
        <v>8.958333333333341</v>
      </c>
      <c r="D216" s="92">
        <f>Table110[[#This Row],[Fecha]]</f>
        <v>45451.958333332819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90"/>
      <c r="Q216" s="90"/>
      <c r="R216" s="93"/>
      <c r="S216" s="93"/>
    </row>
    <row r="217" spans="2:19" x14ac:dyDescent="0.25">
      <c r="B217" s="91">
        <f t="shared" si="10"/>
        <v>45451.999999999483</v>
      </c>
      <c r="C217" s="52">
        <f t="shared" si="11"/>
        <v>9.0000000000000071</v>
      </c>
      <c r="D217" s="92">
        <f>Table110[[#This Row],[Fecha]]</f>
        <v>45451.999999999483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90"/>
      <c r="Q217" s="90"/>
      <c r="R217" s="93"/>
      <c r="S217" s="93"/>
    </row>
    <row r="218" spans="2:19" x14ac:dyDescent="0.25">
      <c r="B218" s="91">
        <f t="shared" si="10"/>
        <v>45452.041666666148</v>
      </c>
      <c r="C218" s="52">
        <f t="shared" si="11"/>
        <v>9.0416666666666732</v>
      </c>
      <c r="D218" s="92">
        <f>Table110[[#This Row],[Fecha]]</f>
        <v>45452.041666666148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90"/>
      <c r="Q218" s="90"/>
      <c r="R218" s="93"/>
      <c r="S218" s="93"/>
    </row>
    <row r="219" spans="2:19" x14ac:dyDescent="0.25">
      <c r="B219" s="91">
        <f t="shared" si="10"/>
        <v>45452.083333332812</v>
      </c>
      <c r="C219" s="52">
        <f t="shared" si="11"/>
        <v>9.0833333333333393</v>
      </c>
      <c r="D219" s="92">
        <f>Table110[[#This Row],[Fecha]]</f>
        <v>45452.083333332812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90"/>
      <c r="Q219" s="90"/>
      <c r="R219" s="93"/>
      <c r="S219" s="93"/>
    </row>
    <row r="220" spans="2:19" x14ac:dyDescent="0.25">
      <c r="B220" s="91">
        <f t="shared" si="10"/>
        <v>45452.124999999476</v>
      </c>
      <c r="C220" s="52">
        <f t="shared" si="11"/>
        <v>9.1250000000000053</v>
      </c>
      <c r="D220" s="92">
        <f>Table110[[#This Row],[Fecha]]</f>
        <v>45452.124999999476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90"/>
      <c r="Q220" s="90"/>
      <c r="R220" s="93"/>
      <c r="S220" s="93"/>
    </row>
    <row r="221" spans="2:19" x14ac:dyDescent="0.25">
      <c r="B221" s="91">
        <f t="shared" si="10"/>
        <v>45452.16666666614</v>
      </c>
      <c r="C221" s="52">
        <f t="shared" si="11"/>
        <v>9.1666666666666714</v>
      </c>
      <c r="D221" s="92">
        <f>Table110[[#This Row],[Fecha]]</f>
        <v>45452.16666666614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90"/>
      <c r="Q221" s="90"/>
      <c r="R221" s="93"/>
      <c r="S221" s="93"/>
    </row>
    <row r="222" spans="2:19" x14ac:dyDescent="0.25">
      <c r="B222" s="91">
        <f t="shared" si="10"/>
        <v>45452.208333332805</v>
      </c>
      <c r="C222" s="52">
        <f t="shared" si="11"/>
        <v>9.2083333333333375</v>
      </c>
      <c r="D222" s="92">
        <f>Table110[[#This Row],[Fecha]]</f>
        <v>45452.208333332805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90"/>
      <c r="Q222" s="90"/>
      <c r="R222" s="93"/>
      <c r="S222" s="93"/>
    </row>
    <row r="223" spans="2:19" x14ac:dyDescent="0.25">
      <c r="B223" s="91">
        <f t="shared" si="10"/>
        <v>45452.249999999469</v>
      </c>
      <c r="C223" s="52">
        <f t="shared" si="11"/>
        <v>9.2500000000000036</v>
      </c>
      <c r="D223" s="92">
        <f>Table110[[#This Row],[Fecha]]</f>
        <v>45452.249999999469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90"/>
      <c r="Q223" s="90"/>
      <c r="R223" s="93"/>
      <c r="S223" s="93"/>
    </row>
    <row r="224" spans="2:19" x14ac:dyDescent="0.25">
      <c r="B224" s="91">
        <f t="shared" si="10"/>
        <v>45452.291666666133</v>
      </c>
      <c r="C224" s="52">
        <f t="shared" si="11"/>
        <v>9.2916666666666696</v>
      </c>
      <c r="D224" s="92">
        <f>Table110[[#This Row],[Fecha]]</f>
        <v>45452.291666666133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90"/>
      <c r="Q224" s="90"/>
      <c r="R224" s="93"/>
      <c r="S224" s="93"/>
    </row>
    <row r="225" spans="2:19" x14ac:dyDescent="0.25">
      <c r="B225" s="91">
        <f t="shared" si="10"/>
        <v>45452.333333332797</v>
      </c>
      <c r="C225" s="52">
        <f t="shared" si="11"/>
        <v>9.3333333333333357</v>
      </c>
      <c r="D225" s="92">
        <f>Table110[[#This Row],[Fecha]]</f>
        <v>45452.333333332797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90"/>
      <c r="Q225" s="90"/>
      <c r="R225" s="93"/>
      <c r="S225" s="93"/>
    </row>
    <row r="226" spans="2:19" x14ac:dyDescent="0.25">
      <c r="B226" s="91">
        <f t="shared" si="10"/>
        <v>45452.374999999462</v>
      </c>
      <c r="C226" s="52">
        <f t="shared" si="11"/>
        <v>9.3750000000000018</v>
      </c>
      <c r="D226" s="92">
        <f>Table110[[#This Row],[Fecha]]</f>
        <v>45452.374999999462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90"/>
      <c r="Q226" s="90"/>
      <c r="R226" s="93"/>
      <c r="S226" s="93"/>
    </row>
    <row r="227" spans="2:19" x14ac:dyDescent="0.25">
      <c r="B227" s="91">
        <f t="shared" si="10"/>
        <v>45452.416666666126</v>
      </c>
      <c r="C227" s="52">
        <f t="shared" si="11"/>
        <v>9.4166666666666679</v>
      </c>
      <c r="D227" s="92">
        <f>Table110[[#This Row],[Fecha]]</f>
        <v>45452.416666666126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90"/>
      <c r="Q227" s="90"/>
      <c r="R227" s="93"/>
      <c r="S227" s="93"/>
    </row>
    <row r="228" spans="2:19" x14ac:dyDescent="0.25">
      <c r="B228" s="91">
        <f t="shared" si="10"/>
        <v>45452.45833333279</v>
      </c>
      <c r="C228" s="52">
        <f t="shared" si="11"/>
        <v>9.4583333333333339</v>
      </c>
      <c r="D228" s="92">
        <f>Table110[[#This Row],[Fecha]]</f>
        <v>45452.45833333279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90"/>
      <c r="Q228" s="90"/>
      <c r="R228" s="93"/>
      <c r="S228" s="9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100" t="str">
        <f>"PROYECCIÓN DE GENERACIÓN PLOME "&amp;TEXT(B3,"DD MMM")&amp;" - "&amp;TEXT(B3+9,"DD MMM")</f>
        <v>PROYECCIÓN DE GENERACIÓN PLOME 31 May - 09 Jun</v>
      </c>
      <c r="C1" s="98"/>
      <c r="D1" s="98"/>
      <c r="E1" s="99"/>
      <c r="F1" s="101"/>
    </row>
    <row r="2" spans="2:10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91">
        <f>Table110[[#This Row],[Fecha]]</f>
        <v>45443.083333333336</v>
      </c>
      <c r="C3" s="52">
        <f>Table110[[#This Row],[Hora]]</f>
        <v>8.3333333333333329E-2</v>
      </c>
      <c r="D3" s="92">
        <f>Table14[[#This Row],[Fecha]]</f>
        <v>45443.083333333336</v>
      </c>
      <c r="E3" s="53" t="e">
        <f>Table110[[#This Row],[Viento m/s]]</f>
        <v>#N/A</v>
      </c>
      <c r="F3" s="94" t="e">
        <f>VLOOKUP(Table14[[#This Row],[FECHA /HORA]],TBL_CalcDarwin[],46,0)</f>
        <v>#N/A</v>
      </c>
      <c r="G3" s="94" t="e">
        <f>VLOOKUP(Table14[[#This Row],[FECHA /HORA]],TBL_CalcDarwin[],47,0)</f>
        <v>#N/A</v>
      </c>
      <c r="H3" s="94" t="e">
        <f>VLOOKUP(Table14[[#This Row],[FECHA /HORA]],TBL_CalcDarwin[],44,0)</f>
        <v>#N/A</v>
      </c>
      <c r="I3" s="94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91">
        <f>Table110[[#This Row],[Fecha]]</f>
        <v>45443.125</v>
      </c>
      <c r="C4" s="52">
        <f>Table110[[#This Row],[Hora]]</f>
        <v>0.125</v>
      </c>
      <c r="D4" s="92">
        <f>Table14[[#This Row],[Fecha]]</f>
        <v>45443.125</v>
      </c>
      <c r="E4" s="53" t="e">
        <f>Table110[[#This Row],[Viento m/s]]</f>
        <v>#N/A</v>
      </c>
      <c r="F4" s="95" t="e">
        <f>VLOOKUP(Table14[[#This Row],[FECHA /HORA]],TBL_CalcDarwin[],46,0)</f>
        <v>#N/A</v>
      </c>
      <c r="G4" s="95" t="e">
        <f>VLOOKUP(Table14[[#This Row],[FECHA /HORA]],TBL_CalcDarwin[],47,0)</f>
        <v>#N/A</v>
      </c>
      <c r="H4" s="95" t="e">
        <f>VLOOKUP(Table14[[#This Row],[FECHA /HORA]],TBL_CalcDarwin[],44,0)</f>
        <v>#N/A</v>
      </c>
      <c r="I4" s="95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91">
        <f>Table110[[#This Row],[Fecha]]</f>
        <v>45443.166666666664</v>
      </c>
      <c r="C5" s="52">
        <f>Table110[[#This Row],[Hora]]</f>
        <v>0.16666666666666666</v>
      </c>
      <c r="D5" s="92">
        <f>Table14[[#This Row],[Fecha]]</f>
        <v>45443.166666666664</v>
      </c>
      <c r="E5" s="53" t="e">
        <f>Table110[[#This Row],[Viento m/s]]</f>
        <v>#N/A</v>
      </c>
      <c r="F5" s="94" t="e">
        <f>VLOOKUP(Table14[[#This Row],[FECHA /HORA]],TBL_CalcDarwin[],46,0)</f>
        <v>#N/A</v>
      </c>
      <c r="G5" s="94" t="e">
        <f>VLOOKUP(Table14[[#This Row],[FECHA /HORA]],TBL_CalcDarwin[],47,0)</f>
        <v>#N/A</v>
      </c>
      <c r="H5" s="94" t="e">
        <f>VLOOKUP(Table14[[#This Row],[FECHA /HORA]],TBL_CalcDarwin[],44,0)</f>
        <v>#N/A</v>
      </c>
      <c r="I5" s="94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91">
        <f>Table110[[#This Row],[Fecha]]</f>
        <v>45443.208333333328</v>
      </c>
      <c r="C6" s="52">
        <f>Table110[[#This Row],[Hora]]</f>
        <v>0.20833333333333331</v>
      </c>
      <c r="D6" s="92">
        <f>Table14[[#This Row],[Fecha]]</f>
        <v>45443.208333333328</v>
      </c>
      <c r="E6" s="53" t="e">
        <f>Table110[[#This Row],[Viento m/s]]</f>
        <v>#N/A</v>
      </c>
      <c r="F6" s="95" t="e">
        <f>VLOOKUP(Table14[[#This Row],[FECHA /HORA]],TBL_CalcDarwin[],46,0)</f>
        <v>#N/A</v>
      </c>
      <c r="G6" s="95" t="e">
        <f>VLOOKUP(Table14[[#This Row],[FECHA /HORA]],TBL_CalcDarwin[],47,0)</f>
        <v>#N/A</v>
      </c>
      <c r="H6" s="95" t="e">
        <f>VLOOKUP(Table14[[#This Row],[FECHA /HORA]],TBL_CalcDarwin[],44,0)</f>
        <v>#N/A</v>
      </c>
      <c r="I6" s="95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91">
        <f>Table110[[#This Row],[Fecha]]</f>
        <v>45443.249999999993</v>
      </c>
      <c r="C7" s="52">
        <f>Table110[[#This Row],[Hora]]</f>
        <v>0.24999999999999997</v>
      </c>
      <c r="D7" s="92">
        <f>Table14[[#This Row],[Fecha]]</f>
        <v>45443.249999999993</v>
      </c>
      <c r="E7" s="53" t="e">
        <f>Table110[[#This Row],[Viento m/s]]</f>
        <v>#N/A</v>
      </c>
      <c r="F7" s="94" t="e">
        <f>VLOOKUP(Table14[[#This Row],[FECHA /HORA]],TBL_CalcDarwin[],46,0)</f>
        <v>#N/A</v>
      </c>
      <c r="G7" s="94" t="e">
        <f>VLOOKUP(Table14[[#This Row],[FECHA /HORA]],TBL_CalcDarwin[],47,0)</f>
        <v>#N/A</v>
      </c>
      <c r="H7" s="94" t="e">
        <f>VLOOKUP(Table14[[#This Row],[FECHA /HORA]],TBL_CalcDarwin[],44,0)</f>
        <v>#N/A</v>
      </c>
      <c r="I7" s="94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91">
        <f>Table110[[#This Row],[Fecha]]</f>
        <v>45443.291666666657</v>
      </c>
      <c r="C8" s="52">
        <f>Table110[[#This Row],[Hora]]</f>
        <v>0.29166666666666663</v>
      </c>
      <c r="D8" s="92">
        <f>Table14[[#This Row],[Fecha]]</f>
        <v>45443.291666666657</v>
      </c>
      <c r="E8" s="53" t="e">
        <f>Table110[[#This Row],[Viento m/s]]</f>
        <v>#N/A</v>
      </c>
      <c r="F8" s="95" t="e">
        <f>VLOOKUP(Table14[[#This Row],[FECHA /HORA]],TBL_CalcDarwin[],46,0)</f>
        <v>#N/A</v>
      </c>
      <c r="G8" s="95" t="e">
        <f>VLOOKUP(Table14[[#This Row],[FECHA /HORA]],TBL_CalcDarwin[],47,0)</f>
        <v>#N/A</v>
      </c>
      <c r="H8" s="95" t="e">
        <f>VLOOKUP(Table14[[#This Row],[FECHA /HORA]],TBL_CalcDarwin[],44,0)</f>
        <v>#N/A</v>
      </c>
      <c r="I8" s="95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91">
        <f>Table110[[#This Row],[Fecha]]</f>
        <v>45443.333333333321</v>
      </c>
      <c r="C9" s="52">
        <f>Table110[[#This Row],[Hora]]</f>
        <v>0.33333333333333331</v>
      </c>
      <c r="D9" s="92">
        <f>Table14[[#This Row],[Fecha]]</f>
        <v>45443.333333333321</v>
      </c>
      <c r="E9" s="53" t="e">
        <f>Table110[[#This Row],[Viento m/s]]</f>
        <v>#N/A</v>
      </c>
      <c r="F9" s="94" t="e">
        <f>VLOOKUP(Table14[[#This Row],[FECHA /HORA]],TBL_CalcDarwin[],46,0)</f>
        <v>#N/A</v>
      </c>
      <c r="G9" s="94" t="e">
        <f>VLOOKUP(Table14[[#This Row],[FECHA /HORA]],TBL_CalcDarwin[],47,0)</f>
        <v>#N/A</v>
      </c>
      <c r="H9" s="94" t="e">
        <f>VLOOKUP(Table14[[#This Row],[FECHA /HORA]],TBL_CalcDarwin[],44,0)</f>
        <v>#N/A</v>
      </c>
      <c r="I9" s="94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91">
        <f>Table110[[#This Row],[Fecha]]</f>
        <v>45443.374999999985</v>
      </c>
      <c r="C10" s="52">
        <f>Table110[[#This Row],[Hora]]</f>
        <v>0.375</v>
      </c>
      <c r="D10" s="92">
        <f>Table14[[#This Row],[Fecha]]</f>
        <v>45443.374999999985</v>
      </c>
      <c r="E10" s="53" t="e">
        <f>Table110[[#This Row],[Viento m/s]]</f>
        <v>#N/A</v>
      </c>
      <c r="F10" s="95" t="e">
        <f>VLOOKUP(Table14[[#This Row],[FECHA /HORA]],TBL_CalcDarwin[],46,0)</f>
        <v>#N/A</v>
      </c>
      <c r="G10" s="95" t="e">
        <f>VLOOKUP(Table14[[#This Row],[FECHA /HORA]],TBL_CalcDarwin[],47,0)</f>
        <v>#N/A</v>
      </c>
      <c r="H10" s="95" t="e">
        <f>VLOOKUP(Table14[[#This Row],[FECHA /HORA]],TBL_CalcDarwin[],44,0)</f>
        <v>#N/A</v>
      </c>
      <c r="I10" s="95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91">
        <f>Table110[[#This Row],[Fecha]]</f>
        <v>45443.41666666665</v>
      </c>
      <c r="C11" s="52">
        <f>Table110[[#This Row],[Hora]]</f>
        <v>0.41666666666666669</v>
      </c>
      <c r="D11" s="92">
        <f>Table14[[#This Row],[Fecha]]</f>
        <v>45443.41666666665</v>
      </c>
      <c r="E11" s="53" t="e">
        <f>Table110[[#This Row],[Viento m/s]]</f>
        <v>#N/A</v>
      </c>
      <c r="F11" s="94" t="e">
        <f>VLOOKUP(Table14[[#This Row],[FECHA /HORA]],TBL_CalcDarwin[],46,0)</f>
        <v>#N/A</v>
      </c>
      <c r="G11" s="94" t="e">
        <f>VLOOKUP(Table14[[#This Row],[FECHA /HORA]],TBL_CalcDarwin[],47,0)</f>
        <v>#N/A</v>
      </c>
      <c r="H11" s="94" t="e">
        <f>VLOOKUP(Table14[[#This Row],[FECHA /HORA]],TBL_CalcDarwin[],44,0)</f>
        <v>#N/A</v>
      </c>
      <c r="I11" s="94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91">
        <f>Table110[[#This Row],[Fecha]]</f>
        <v>45443.458333333314</v>
      </c>
      <c r="C12" s="52">
        <f>Table110[[#This Row],[Hora]]</f>
        <v>0.45833333333333337</v>
      </c>
      <c r="D12" s="92">
        <f>Table14[[#This Row],[Fecha]]</f>
        <v>45443.458333333314</v>
      </c>
      <c r="E12" s="53" t="e">
        <f>Table110[[#This Row],[Viento m/s]]</f>
        <v>#N/A</v>
      </c>
      <c r="F12" s="95" t="e">
        <f>VLOOKUP(Table14[[#This Row],[FECHA /HORA]],TBL_CalcDarwin[],46,0)</f>
        <v>#N/A</v>
      </c>
      <c r="G12" s="95" t="e">
        <f>VLOOKUP(Table14[[#This Row],[FECHA /HORA]],TBL_CalcDarwin[],47,0)</f>
        <v>#N/A</v>
      </c>
      <c r="H12" s="95" t="e">
        <f>VLOOKUP(Table14[[#This Row],[FECHA /HORA]],TBL_CalcDarwin[],44,0)</f>
        <v>#N/A</v>
      </c>
      <c r="I12" s="95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91">
        <f>Table110[[#This Row],[Fecha]]</f>
        <v>45443.499999999978</v>
      </c>
      <c r="C13" s="52">
        <f>Table110[[#This Row],[Hora]]</f>
        <v>0.5</v>
      </c>
      <c r="D13" s="92">
        <f>Table14[[#This Row],[Fecha]]</f>
        <v>45443.499999999978</v>
      </c>
      <c r="E13" s="53" t="e">
        <f>Table110[[#This Row],[Viento m/s]]</f>
        <v>#N/A</v>
      </c>
      <c r="F13" s="94" t="e">
        <f>VLOOKUP(Table14[[#This Row],[FECHA /HORA]],TBL_CalcDarwin[],46,0)</f>
        <v>#N/A</v>
      </c>
      <c r="G13" s="94" t="e">
        <f>VLOOKUP(Table14[[#This Row],[FECHA /HORA]],TBL_CalcDarwin[],47,0)</f>
        <v>#N/A</v>
      </c>
      <c r="H13" s="94" t="e">
        <f>VLOOKUP(Table14[[#This Row],[FECHA /HORA]],TBL_CalcDarwin[],44,0)</f>
        <v>#N/A</v>
      </c>
      <c r="I13" s="94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91">
        <f>Table110[[#This Row],[Fecha]]</f>
        <v>45443.541666666642</v>
      </c>
      <c r="C14" s="52">
        <f>Table110[[#This Row],[Hora]]</f>
        <v>0.54166666666666663</v>
      </c>
      <c r="D14" s="92">
        <f>Table14[[#This Row],[Fecha]]</f>
        <v>45443.541666666642</v>
      </c>
      <c r="E14" s="53" t="e">
        <f>Table110[[#This Row],[Viento m/s]]</f>
        <v>#N/A</v>
      </c>
      <c r="F14" s="95" t="e">
        <f>VLOOKUP(Table14[[#This Row],[FECHA /HORA]],TBL_CalcDarwin[],46,0)</f>
        <v>#N/A</v>
      </c>
      <c r="G14" s="95" t="e">
        <f>VLOOKUP(Table14[[#This Row],[FECHA /HORA]],TBL_CalcDarwin[],47,0)</f>
        <v>#N/A</v>
      </c>
      <c r="H14" s="95" t="e">
        <f>VLOOKUP(Table14[[#This Row],[FECHA /HORA]],TBL_CalcDarwin[],44,0)</f>
        <v>#N/A</v>
      </c>
      <c r="I14" s="95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91">
        <f>Table110[[#This Row],[Fecha]]</f>
        <v>45443.583333333307</v>
      </c>
      <c r="C15" s="52">
        <f>Table110[[#This Row],[Hora]]</f>
        <v>0.58333333333333326</v>
      </c>
      <c r="D15" s="92">
        <f>Table14[[#This Row],[Fecha]]</f>
        <v>45443.583333333307</v>
      </c>
      <c r="E15" s="53" t="e">
        <f>Table110[[#This Row],[Viento m/s]]</f>
        <v>#N/A</v>
      </c>
      <c r="F15" s="94" t="e">
        <f>VLOOKUP(Table14[[#This Row],[FECHA /HORA]],TBL_CalcDarwin[],46,0)</f>
        <v>#N/A</v>
      </c>
      <c r="G15" s="94" t="e">
        <f>VLOOKUP(Table14[[#This Row],[FECHA /HORA]],TBL_CalcDarwin[],47,0)</f>
        <v>#N/A</v>
      </c>
      <c r="H15" s="94" t="e">
        <f>VLOOKUP(Table14[[#This Row],[FECHA /HORA]],TBL_CalcDarwin[],44,0)</f>
        <v>#N/A</v>
      </c>
      <c r="I15" s="94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91">
        <f>Table110[[#This Row],[Fecha]]</f>
        <v>45443.624999999971</v>
      </c>
      <c r="C16" s="52">
        <f>Table110[[#This Row],[Hora]]</f>
        <v>0.62499999999999989</v>
      </c>
      <c r="D16" s="92">
        <f>Table14[[#This Row],[Fecha]]</f>
        <v>45443.624999999971</v>
      </c>
      <c r="E16" s="53" t="e">
        <f>Table110[[#This Row],[Viento m/s]]</f>
        <v>#N/A</v>
      </c>
      <c r="F16" s="95" t="e">
        <f>VLOOKUP(Table14[[#This Row],[FECHA /HORA]],TBL_CalcDarwin[],46,0)</f>
        <v>#N/A</v>
      </c>
      <c r="G16" s="95" t="e">
        <f>VLOOKUP(Table14[[#This Row],[FECHA /HORA]],TBL_CalcDarwin[],47,0)</f>
        <v>#N/A</v>
      </c>
      <c r="H16" s="95" t="e">
        <f>VLOOKUP(Table14[[#This Row],[FECHA /HORA]],TBL_CalcDarwin[],44,0)</f>
        <v>#N/A</v>
      </c>
      <c r="I16" s="95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91">
        <f>Table110[[#This Row],[Fecha]]</f>
        <v>45443.666666666635</v>
      </c>
      <c r="C17" s="52">
        <f>Table110[[#This Row],[Hora]]</f>
        <v>0.66666666666666652</v>
      </c>
      <c r="D17" s="92">
        <f>Table14[[#This Row],[Fecha]]</f>
        <v>45443.666666666635</v>
      </c>
      <c r="E17" s="53" t="e">
        <f>Table110[[#This Row],[Viento m/s]]</f>
        <v>#N/A</v>
      </c>
      <c r="F17" s="94" t="e">
        <f>VLOOKUP(Table14[[#This Row],[FECHA /HORA]],TBL_CalcDarwin[],46,0)</f>
        <v>#N/A</v>
      </c>
      <c r="G17" s="94" t="e">
        <f>VLOOKUP(Table14[[#This Row],[FECHA /HORA]],TBL_CalcDarwin[],47,0)</f>
        <v>#N/A</v>
      </c>
      <c r="H17" s="94" t="e">
        <f>VLOOKUP(Table14[[#This Row],[FECHA /HORA]],TBL_CalcDarwin[],44,0)</f>
        <v>#N/A</v>
      </c>
      <c r="I17" s="94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91">
        <f>Table110[[#This Row],[Fecha]]</f>
        <v>45443.708333333299</v>
      </c>
      <c r="C18" s="52">
        <f>Table110[[#This Row],[Hora]]</f>
        <v>0.70833333333333315</v>
      </c>
      <c r="D18" s="92">
        <f>Table14[[#This Row],[Fecha]]</f>
        <v>45443.708333333299</v>
      </c>
      <c r="E18" s="53" t="e">
        <f>Table110[[#This Row],[Viento m/s]]</f>
        <v>#N/A</v>
      </c>
      <c r="F18" s="95" t="e">
        <f>VLOOKUP(Table14[[#This Row],[FECHA /HORA]],TBL_CalcDarwin[],46,0)</f>
        <v>#N/A</v>
      </c>
      <c r="G18" s="95" t="e">
        <f>VLOOKUP(Table14[[#This Row],[FECHA /HORA]],TBL_CalcDarwin[],47,0)</f>
        <v>#N/A</v>
      </c>
      <c r="H18" s="95" t="e">
        <f>VLOOKUP(Table14[[#This Row],[FECHA /HORA]],TBL_CalcDarwin[],44,0)</f>
        <v>#N/A</v>
      </c>
      <c r="I18" s="95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91">
        <f>Table110[[#This Row],[Fecha]]</f>
        <v>45443.749999999964</v>
      </c>
      <c r="C19" s="52">
        <f>Table110[[#This Row],[Hora]]</f>
        <v>0.74999999999999978</v>
      </c>
      <c r="D19" s="92">
        <f>Table14[[#This Row],[Fecha]]</f>
        <v>45443.749999999964</v>
      </c>
      <c r="E19" s="53" t="e">
        <f>Table110[[#This Row],[Viento m/s]]</f>
        <v>#N/A</v>
      </c>
      <c r="F19" s="94" t="e">
        <f>VLOOKUP(Table14[[#This Row],[FECHA /HORA]],TBL_CalcDarwin[],46,0)</f>
        <v>#N/A</v>
      </c>
      <c r="G19" s="94" t="e">
        <f>VLOOKUP(Table14[[#This Row],[FECHA /HORA]],TBL_CalcDarwin[],47,0)</f>
        <v>#N/A</v>
      </c>
      <c r="H19" s="94" t="e">
        <f>VLOOKUP(Table14[[#This Row],[FECHA /HORA]],TBL_CalcDarwin[],44,0)</f>
        <v>#N/A</v>
      </c>
      <c r="I19" s="94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91">
        <f>Table110[[#This Row],[Fecha]]</f>
        <v>45443.791666666628</v>
      </c>
      <c r="C20" s="52">
        <f>Table110[[#This Row],[Hora]]</f>
        <v>0.79166666666666641</v>
      </c>
      <c r="D20" s="92">
        <f>Table14[[#This Row],[Fecha]]</f>
        <v>45443.791666666628</v>
      </c>
      <c r="E20" s="53" t="e">
        <f>Table110[[#This Row],[Viento m/s]]</f>
        <v>#N/A</v>
      </c>
      <c r="F20" s="95" t="e">
        <f>VLOOKUP(Table14[[#This Row],[FECHA /HORA]],TBL_CalcDarwin[],46,0)</f>
        <v>#N/A</v>
      </c>
      <c r="G20" s="95" t="e">
        <f>VLOOKUP(Table14[[#This Row],[FECHA /HORA]],TBL_CalcDarwin[],47,0)</f>
        <v>#N/A</v>
      </c>
      <c r="H20" s="95" t="e">
        <f>VLOOKUP(Table14[[#This Row],[FECHA /HORA]],TBL_CalcDarwin[],44,0)</f>
        <v>#N/A</v>
      </c>
      <c r="I20" s="95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91">
        <f>Table110[[#This Row],[Fecha]]</f>
        <v>45443.833333333292</v>
      </c>
      <c r="C21" s="52">
        <f>Table110[[#This Row],[Hora]]</f>
        <v>0.83333333333333304</v>
      </c>
      <c r="D21" s="92">
        <f>Table14[[#This Row],[Fecha]]</f>
        <v>45443.833333333292</v>
      </c>
      <c r="E21" s="53" t="e">
        <f>Table110[[#This Row],[Viento m/s]]</f>
        <v>#N/A</v>
      </c>
      <c r="F21" s="94" t="e">
        <f>VLOOKUP(Table14[[#This Row],[FECHA /HORA]],TBL_CalcDarwin[],46,0)</f>
        <v>#N/A</v>
      </c>
      <c r="G21" s="94" t="e">
        <f>VLOOKUP(Table14[[#This Row],[FECHA /HORA]],TBL_CalcDarwin[],47,0)</f>
        <v>#N/A</v>
      </c>
      <c r="H21" s="94" t="e">
        <f>VLOOKUP(Table14[[#This Row],[FECHA /HORA]],TBL_CalcDarwin[],44,0)</f>
        <v>#N/A</v>
      </c>
      <c r="I21" s="94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91">
        <f>Table110[[#This Row],[Fecha]]</f>
        <v>45443.874999999956</v>
      </c>
      <c r="C22" s="52">
        <f>Table110[[#This Row],[Hora]]</f>
        <v>0.87499999999999967</v>
      </c>
      <c r="D22" s="92">
        <f>Table14[[#This Row],[Fecha]]</f>
        <v>45443.874999999956</v>
      </c>
      <c r="E22" s="53" t="e">
        <f>Table110[[#This Row],[Viento m/s]]</f>
        <v>#N/A</v>
      </c>
      <c r="F22" s="95" t="e">
        <f>VLOOKUP(Table14[[#This Row],[FECHA /HORA]],TBL_CalcDarwin[],46,0)</f>
        <v>#N/A</v>
      </c>
      <c r="G22" s="95" t="e">
        <f>VLOOKUP(Table14[[#This Row],[FECHA /HORA]],TBL_CalcDarwin[],47,0)</f>
        <v>#N/A</v>
      </c>
      <c r="H22" s="95" t="e">
        <f>VLOOKUP(Table14[[#This Row],[FECHA /HORA]],TBL_CalcDarwin[],44,0)</f>
        <v>#N/A</v>
      </c>
      <c r="I22" s="95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91">
        <f>Table110[[#This Row],[Fecha]]</f>
        <v>45443.916666666621</v>
      </c>
      <c r="C23" s="52">
        <f>Table110[[#This Row],[Hora]]</f>
        <v>0.9166666666666663</v>
      </c>
      <c r="D23" s="92">
        <f>Table14[[#This Row],[Fecha]]</f>
        <v>45443.916666666621</v>
      </c>
      <c r="E23" s="53" t="e">
        <f>Table110[[#This Row],[Viento m/s]]</f>
        <v>#N/A</v>
      </c>
      <c r="F23" s="94" t="e">
        <f>VLOOKUP(Table14[[#This Row],[FECHA /HORA]],TBL_CalcDarwin[],46,0)</f>
        <v>#N/A</v>
      </c>
      <c r="G23" s="94" t="e">
        <f>VLOOKUP(Table14[[#This Row],[FECHA /HORA]],TBL_CalcDarwin[],47,0)</f>
        <v>#N/A</v>
      </c>
      <c r="H23" s="94" t="e">
        <f>VLOOKUP(Table14[[#This Row],[FECHA /HORA]],TBL_CalcDarwin[],44,0)</f>
        <v>#N/A</v>
      </c>
      <c r="I23" s="94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91">
        <f>Table110[[#This Row],[Fecha]]</f>
        <v>45443.958333333285</v>
      </c>
      <c r="C24" s="52">
        <f>Table110[[#This Row],[Hora]]</f>
        <v>0.95833333333333293</v>
      </c>
      <c r="D24" s="92">
        <f>Table14[[#This Row],[Fecha]]</f>
        <v>45443.958333333285</v>
      </c>
      <c r="E24" s="53" t="e">
        <f>Table110[[#This Row],[Viento m/s]]</f>
        <v>#N/A</v>
      </c>
      <c r="F24" s="95" t="e">
        <f>VLOOKUP(Table14[[#This Row],[FECHA /HORA]],TBL_CalcDarwin[],46,0)</f>
        <v>#N/A</v>
      </c>
      <c r="G24" s="95" t="e">
        <f>VLOOKUP(Table14[[#This Row],[FECHA /HORA]],TBL_CalcDarwin[],47,0)</f>
        <v>#N/A</v>
      </c>
      <c r="H24" s="95" t="e">
        <f>VLOOKUP(Table14[[#This Row],[FECHA /HORA]],TBL_CalcDarwin[],44,0)</f>
        <v>#N/A</v>
      </c>
      <c r="I24" s="95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91">
        <f>Table110[[#This Row],[Fecha]]</f>
        <v>45443.999999999949</v>
      </c>
      <c r="C25" s="52">
        <f>Table110[[#This Row],[Hora]]</f>
        <v>0.99999999999999956</v>
      </c>
      <c r="D25" s="92">
        <f>Table14[[#This Row],[Fecha]]</f>
        <v>45443.999999999949</v>
      </c>
      <c r="E25" s="53" t="e">
        <f>Table110[[#This Row],[Viento m/s]]</f>
        <v>#N/A</v>
      </c>
      <c r="F25" s="94" t="e">
        <f>VLOOKUP(Table14[[#This Row],[FECHA /HORA]],TBL_CalcDarwin[],46,0)</f>
        <v>#N/A</v>
      </c>
      <c r="G25" s="94" t="e">
        <f>VLOOKUP(Table14[[#This Row],[FECHA /HORA]],TBL_CalcDarwin[],47,0)</f>
        <v>#N/A</v>
      </c>
      <c r="H25" s="94" t="e">
        <f>VLOOKUP(Table14[[#This Row],[FECHA /HORA]],TBL_CalcDarwin[],44,0)</f>
        <v>#N/A</v>
      </c>
      <c r="I25" s="94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91">
        <f>Table110[[#This Row],[Fecha]]</f>
        <v>45444.041666666613</v>
      </c>
      <c r="C26" s="52">
        <f>Table110[[#This Row],[Hora]]</f>
        <v>1.0416666666666663</v>
      </c>
      <c r="D26" s="92">
        <f>Table14[[#This Row],[Fecha]]</f>
        <v>45444.041666666613</v>
      </c>
      <c r="E26" s="53" t="e">
        <f>Table110[[#This Row],[Viento m/s]]</f>
        <v>#N/A</v>
      </c>
      <c r="F26" s="95" t="e">
        <f>VLOOKUP(Table14[[#This Row],[FECHA /HORA]],TBL_CalcDarwin[],46,0)</f>
        <v>#N/A</v>
      </c>
      <c r="G26" s="95" t="e">
        <f>VLOOKUP(Table14[[#This Row],[FECHA /HORA]],TBL_CalcDarwin[],47,0)</f>
        <v>#N/A</v>
      </c>
      <c r="H26" s="95" t="e">
        <f>VLOOKUP(Table14[[#This Row],[FECHA /HORA]],TBL_CalcDarwin[],44,0)</f>
        <v>#N/A</v>
      </c>
      <c r="I26" s="95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91">
        <f>Table110[[#This Row],[Fecha]]</f>
        <v>45444.083333333278</v>
      </c>
      <c r="C27" s="52">
        <f>Table110[[#This Row],[Hora]]</f>
        <v>1.083333333333333</v>
      </c>
      <c r="D27" s="92">
        <f>Table14[[#This Row],[Fecha]]</f>
        <v>45444.083333333278</v>
      </c>
      <c r="E27" s="53" t="e">
        <f>Table110[[#This Row],[Viento m/s]]</f>
        <v>#N/A</v>
      </c>
      <c r="F27" s="94" t="e">
        <f>VLOOKUP(Table14[[#This Row],[FECHA /HORA]],TBL_CalcDarwin[],46,0)</f>
        <v>#N/A</v>
      </c>
      <c r="G27" s="94" t="e">
        <f>VLOOKUP(Table14[[#This Row],[FECHA /HORA]],TBL_CalcDarwin[],47,0)</f>
        <v>#N/A</v>
      </c>
      <c r="H27" s="94" t="e">
        <f>VLOOKUP(Table14[[#This Row],[FECHA /HORA]],TBL_CalcDarwin[],44,0)</f>
        <v>#N/A</v>
      </c>
      <c r="I27" s="94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91">
        <f>Table110[[#This Row],[Fecha]]</f>
        <v>45444.124999999942</v>
      </c>
      <c r="C28" s="52">
        <f>Table110[[#This Row],[Hora]]</f>
        <v>1.1249999999999998</v>
      </c>
      <c r="D28" s="92">
        <f>Table14[[#This Row],[Fecha]]</f>
        <v>45444.124999999942</v>
      </c>
      <c r="E28" s="53" t="e">
        <f>Table110[[#This Row],[Viento m/s]]</f>
        <v>#N/A</v>
      </c>
      <c r="F28" s="95" t="e">
        <f>VLOOKUP(Table14[[#This Row],[FECHA /HORA]],TBL_CalcDarwin[],46,0)</f>
        <v>#N/A</v>
      </c>
      <c r="G28" s="95" t="e">
        <f>VLOOKUP(Table14[[#This Row],[FECHA /HORA]],TBL_CalcDarwin[],47,0)</f>
        <v>#N/A</v>
      </c>
      <c r="H28" s="95" t="e">
        <f>VLOOKUP(Table14[[#This Row],[FECHA /HORA]],TBL_CalcDarwin[],44,0)</f>
        <v>#N/A</v>
      </c>
      <c r="I28" s="95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91">
        <f>Table110[[#This Row],[Fecha]]</f>
        <v>45444.166666666606</v>
      </c>
      <c r="C29" s="52">
        <f>Table110[[#This Row],[Hora]]</f>
        <v>1.1666666666666665</v>
      </c>
      <c r="D29" s="92">
        <f>Table14[[#This Row],[Fecha]]</f>
        <v>45444.166666666606</v>
      </c>
      <c r="E29" s="53" t="e">
        <f>Table110[[#This Row],[Viento m/s]]</f>
        <v>#N/A</v>
      </c>
      <c r="F29" s="94" t="e">
        <f>VLOOKUP(Table14[[#This Row],[FECHA /HORA]],TBL_CalcDarwin[],46,0)</f>
        <v>#N/A</v>
      </c>
      <c r="G29" s="94" t="e">
        <f>VLOOKUP(Table14[[#This Row],[FECHA /HORA]],TBL_CalcDarwin[],47,0)</f>
        <v>#N/A</v>
      </c>
      <c r="H29" s="94" t="e">
        <f>VLOOKUP(Table14[[#This Row],[FECHA /HORA]],TBL_CalcDarwin[],44,0)</f>
        <v>#N/A</v>
      </c>
      <c r="I29" s="94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91">
        <f>Table110[[#This Row],[Fecha]]</f>
        <v>45444.20833333327</v>
      </c>
      <c r="C30" s="52">
        <f>Table110[[#This Row],[Hora]]</f>
        <v>1.2083333333333333</v>
      </c>
      <c r="D30" s="92">
        <f>Table14[[#This Row],[Fecha]]</f>
        <v>45444.20833333327</v>
      </c>
      <c r="E30" s="53" t="e">
        <f>Table110[[#This Row],[Viento m/s]]</f>
        <v>#N/A</v>
      </c>
      <c r="F30" s="95" t="e">
        <f>VLOOKUP(Table14[[#This Row],[FECHA /HORA]],TBL_CalcDarwin[],46,0)</f>
        <v>#N/A</v>
      </c>
      <c r="G30" s="95" t="e">
        <f>VLOOKUP(Table14[[#This Row],[FECHA /HORA]],TBL_CalcDarwin[],47,0)</f>
        <v>#N/A</v>
      </c>
      <c r="H30" s="95" t="e">
        <f>VLOOKUP(Table14[[#This Row],[FECHA /HORA]],TBL_CalcDarwin[],44,0)</f>
        <v>#N/A</v>
      </c>
      <c r="I30" s="95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91">
        <f>Table110[[#This Row],[Fecha]]</f>
        <v>45444.249999999935</v>
      </c>
      <c r="C31" s="52">
        <f>Table110[[#This Row],[Hora]]</f>
        <v>1.25</v>
      </c>
      <c r="D31" s="92">
        <f>Table14[[#This Row],[Fecha]]</f>
        <v>45444.249999999935</v>
      </c>
      <c r="E31" s="53" t="e">
        <f>Table110[[#This Row],[Viento m/s]]</f>
        <v>#N/A</v>
      </c>
      <c r="F31" s="94" t="e">
        <f>VLOOKUP(Table14[[#This Row],[FECHA /HORA]],TBL_CalcDarwin[],46,0)</f>
        <v>#N/A</v>
      </c>
      <c r="G31" s="94" t="e">
        <f>VLOOKUP(Table14[[#This Row],[FECHA /HORA]],TBL_CalcDarwin[],47,0)</f>
        <v>#N/A</v>
      </c>
      <c r="H31" s="94" t="e">
        <f>VLOOKUP(Table14[[#This Row],[FECHA /HORA]],TBL_CalcDarwin[],44,0)</f>
        <v>#N/A</v>
      </c>
      <c r="I31" s="94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91">
        <f>Table110[[#This Row],[Fecha]]</f>
        <v>45444.291666666599</v>
      </c>
      <c r="C32" s="52">
        <f>Table110[[#This Row],[Hora]]</f>
        <v>1.2916666666666667</v>
      </c>
      <c r="D32" s="92">
        <f>Table14[[#This Row],[Fecha]]</f>
        <v>45444.291666666599</v>
      </c>
      <c r="E32" s="53" t="e">
        <f>Table110[[#This Row],[Viento m/s]]</f>
        <v>#N/A</v>
      </c>
      <c r="F32" s="95" t="e">
        <f>VLOOKUP(Table14[[#This Row],[FECHA /HORA]],TBL_CalcDarwin[],46,0)</f>
        <v>#N/A</v>
      </c>
      <c r="G32" s="95" t="e">
        <f>VLOOKUP(Table14[[#This Row],[FECHA /HORA]],TBL_CalcDarwin[],47,0)</f>
        <v>#N/A</v>
      </c>
      <c r="H32" s="95" t="e">
        <f>VLOOKUP(Table14[[#This Row],[FECHA /HORA]],TBL_CalcDarwin[],44,0)</f>
        <v>#N/A</v>
      </c>
      <c r="I32" s="95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91">
        <f>Table110[[#This Row],[Fecha]]</f>
        <v>45444.333333333263</v>
      </c>
      <c r="C33" s="52">
        <f>Table110[[#This Row],[Hora]]</f>
        <v>1.3333333333333335</v>
      </c>
      <c r="D33" s="92">
        <f>Table14[[#This Row],[Fecha]]</f>
        <v>45444.333333333263</v>
      </c>
      <c r="E33" s="53" t="e">
        <f>Table110[[#This Row],[Viento m/s]]</f>
        <v>#N/A</v>
      </c>
      <c r="F33" s="94" t="e">
        <f>VLOOKUP(Table14[[#This Row],[FECHA /HORA]],TBL_CalcDarwin[],46,0)</f>
        <v>#N/A</v>
      </c>
      <c r="G33" s="94" t="e">
        <f>VLOOKUP(Table14[[#This Row],[FECHA /HORA]],TBL_CalcDarwin[],47,0)</f>
        <v>#N/A</v>
      </c>
      <c r="H33" s="94" t="e">
        <f>VLOOKUP(Table14[[#This Row],[FECHA /HORA]],TBL_CalcDarwin[],44,0)</f>
        <v>#N/A</v>
      </c>
      <c r="I33" s="94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91">
        <f>Table110[[#This Row],[Fecha]]</f>
        <v>45444.374999999927</v>
      </c>
      <c r="C34" s="52">
        <f>Table110[[#This Row],[Hora]]</f>
        <v>1.3750000000000002</v>
      </c>
      <c r="D34" s="92">
        <f>Table14[[#This Row],[Fecha]]</f>
        <v>45444.374999999927</v>
      </c>
      <c r="E34" s="53" t="e">
        <f>Table110[[#This Row],[Viento m/s]]</f>
        <v>#N/A</v>
      </c>
      <c r="F34" s="95" t="e">
        <f>VLOOKUP(Table14[[#This Row],[FECHA /HORA]],TBL_CalcDarwin[],46,0)</f>
        <v>#N/A</v>
      </c>
      <c r="G34" s="95" t="e">
        <f>VLOOKUP(Table14[[#This Row],[FECHA /HORA]],TBL_CalcDarwin[],47,0)</f>
        <v>#N/A</v>
      </c>
      <c r="H34" s="95" t="e">
        <f>VLOOKUP(Table14[[#This Row],[FECHA /HORA]],TBL_CalcDarwin[],44,0)</f>
        <v>#N/A</v>
      </c>
      <c r="I34" s="95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91">
        <f>Table110[[#This Row],[Fecha]]</f>
        <v>45444.416666666591</v>
      </c>
      <c r="C35" s="52">
        <f>Table110[[#This Row],[Hora]]</f>
        <v>1.416666666666667</v>
      </c>
      <c r="D35" s="92">
        <f>Table14[[#This Row],[Fecha]]</f>
        <v>45444.416666666591</v>
      </c>
      <c r="E35" s="53" t="e">
        <f>Table110[[#This Row],[Viento m/s]]</f>
        <v>#N/A</v>
      </c>
      <c r="F35" s="94" t="e">
        <f>VLOOKUP(Table14[[#This Row],[FECHA /HORA]],TBL_CalcDarwin[],46,0)</f>
        <v>#N/A</v>
      </c>
      <c r="G35" s="94" t="e">
        <f>VLOOKUP(Table14[[#This Row],[FECHA /HORA]],TBL_CalcDarwin[],47,0)</f>
        <v>#N/A</v>
      </c>
      <c r="H35" s="94" t="e">
        <f>VLOOKUP(Table14[[#This Row],[FECHA /HORA]],TBL_CalcDarwin[],44,0)</f>
        <v>#N/A</v>
      </c>
      <c r="I35" s="94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91">
        <f>Table110[[#This Row],[Fecha]]</f>
        <v>45444.458333333256</v>
      </c>
      <c r="C36" s="52">
        <f>Table110[[#This Row],[Hora]]</f>
        <v>1.4583333333333337</v>
      </c>
      <c r="D36" s="92">
        <f>Table14[[#This Row],[Fecha]]</f>
        <v>45444.458333333256</v>
      </c>
      <c r="E36" s="53" t="e">
        <f>Table110[[#This Row],[Viento m/s]]</f>
        <v>#N/A</v>
      </c>
      <c r="F36" s="95" t="e">
        <f>VLOOKUP(Table14[[#This Row],[FECHA /HORA]],TBL_CalcDarwin[],46,0)</f>
        <v>#N/A</v>
      </c>
      <c r="G36" s="95" t="e">
        <f>VLOOKUP(Table14[[#This Row],[FECHA /HORA]],TBL_CalcDarwin[],47,0)</f>
        <v>#N/A</v>
      </c>
      <c r="H36" s="95" t="e">
        <f>VLOOKUP(Table14[[#This Row],[FECHA /HORA]],TBL_CalcDarwin[],44,0)</f>
        <v>#N/A</v>
      </c>
      <c r="I36" s="95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91">
        <f>Table110[[#This Row],[Fecha]]</f>
        <v>45444.49999999992</v>
      </c>
      <c r="C37" s="52">
        <f>Table110[[#This Row],[Hora]]</f>
        <v>1.5000000000000004</v>
      </c>
      <c r="D37" s="92">
        <f>Table14[[#This Row],[Fecha]]</f>
        <v>45444.49999999992</v>
      </c>
      <c r="E37" s="53" t="e">
        <f>Table110[[#This Row],[Viento m/s]]</f>
        <v>#N/A</v>
      </c>
      <c r="F37" s="94" t="e">
        <f>VLOOKUP(Table14[[#This Row],[FECHA /HORA]],TBL_CalcDarwin[],46,0)</f>
        <v>#N/A</v>
      </c>
      <c r="G37" s="94" t="e">
        <f>VLOOKUP(Table14[[#This Row],[FECHA /HORA]],TBL_CalcDarwin[],47,0)</f>
        <v>#N/A</v>
      </c>
      <c r="H37" s="94" t="e">
        <f>VLOOKUP(Table14[[#This Row],[FECHA /HORA]],TBL_CalcDarwin[],44,0)</f>
        <v>#N/A</v>
      </c>
      <c r="I37" s="94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91">
        <f>Table110[[#This Row],[Fecha]]</f>
        <v>45444.541666666584</v>
      </c>
      <c r="C38" s="52">
        <f>Table110[[#This Row],[Hora]]</f>
        <v>1.5416666666666672</v>
      </c>
      <c r="D38" s="92">
        <f>Table14[[#This Row],[Fecha]]</f>
        <v>45444.541666666584</v>
      </c>
      <c r="E38" s="53" t="e">
        <f>Table110[[#This Row],[Viento m/s]]</f>
        <v>#N/A</v>
      </c>
      <c r="F38" s="95" t="e">
        <f>VLOOKUP(Table14[[#This Row],[FECHA /HORA]],TBL_CalcDarwin[],46,0)</f>
        <v>#N/A</v>
      </c>
      <c r="G38" s="95" t="e">
        <f>VLOOKUP(Table14[[#This Row],[FECHA /HORA]],TBL_CalcDarwin[],47,0)</f>
        <v>#N/A</v>
      </c>
      <c r="H38" s="95" t="e">
        <f>VLOOKUP(Table14[[#This Row],[FECHA /HORA]],TBL_CalcDarwin[],44,0)</f>
        <v>#N/A</v>
      </c>
      <c r="I38" s="95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91">
        <f>Table110[[#This Row],[Fecha]]</f>
        <v>45444.583333333248</v>
      </c>
      <c r="C39" s="52">
        <f>Table110[[#This Row],[Hora]]</f>
        <v>1.5833333333333339</v>
      </c>
      <c r="D39" s="92">
        <f>Table14[[#This Row],[Fecha]]</f>
        <v>45444.583333333248</v>
      </c>
      <c r="E39" s="53" t="e">
        <f>Table110[[#This Row],[Viento m/s]]</f>
        <v>#N/A</v>
      </c>
      <c r="F39" s="94" t="e">
        <f>VLOOKUP(Table14[[#This Row],[FECHA /HORA]],TBL_CalcDarwin[],46,0)</f>
        <v>#N/A</v>
      </c>
      <c r="G39" s="94" t="e">
        <f>VLOOKUP(Table14[[#This Row],[FECHA /HORA]],TBL_CalcDarwin[],47,0)</f>
        <v>#N/A</v>
      </c>
      <c r="H39" s="94" t="e">
        <f>VLOOKUP(Table14[[#This Row],[FECHA /HORA]],TBL_CalcDarwin[],44,0)</f>
        <v>#N/A</v>
      </c>
      <c r="I39" s="94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91">
        <f>Table110[[#This Row],[Fecha]]</f>
        <v>45444.624999999913</v>
      </c>
      <c r="C40" s="52">
        <f>Table110[[#This Row],[Hora]]</f>
        <v>1.6250000000000007</v>
      </c>
      <c r="D40" s="92">
        <f>Table14[[#This Row],[Fecha]]</f>
        <v>45444.624999999913</v>
      </c>
      <c r="E40" s="53" t="e">
        <f>Table110[[#This Row],[Viento m/s]]</f>
        <v>#N/A</v>
      </c>
      <c r="F40" s="95" t="e">
        <f>VLOOKUP(Table14[[#This Row],[FECHA /HORA]],TBL_CalcDarwin[],46,0)</f>
        <v>#N/A</v>
      </c>
      <c r="G40" s="95" t="e">
        <f>VLOOKUP(Table14[[#This Row],[FECHA /HORA]],TBL_CalcDarwin[],47,0)</f>
        <v>#N/A</v>
      </c>
      <c r="H40" s="95" t="e">
        <f>VLOOKUP(Table14[[#This Row],[FECHA /HORA]],TBL_CalcDarwin[],44,0)</f>
        <v>#N/A</v>
      </c>
      <c r="I40" s="95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91">
        <f>Table110[[#This Row],[Fecha]]</f>
        <v>45444.666666666577</v>
      </c>
      <c r="C41" s="52">
        <f>Table110[[#This Row],[Hora]]</f>
        <v>1.6666666666666674</v>
      </c>
      <c r="D41" s="92">
        <f>Table14[[#This Row],[Fecha]]</f>
        <v>45444.666666666577</v>
      </c>
      <c r="E41" s="53" t="e">
        <f>Table110[[#This Row],[Viento m/s]]</f>
        <v>#N/A</v>
      </c>
      <c r="F41" s="94" t="e">
        <f>VLOOKUP(Table14[[#This Row],[FECHA /HORA]],TBL_CalcDarwin[],46,0)</f>
        <v>#N/A</v>
      </c>
      <c r="G41" s="94" t="e">
        <f>VLOOKUP(Table14[[#This Row],[FECHA /HORA]],TBL_CalcDarwin[],47,0)</f>
        <v>#N/A</v>
      </c>
      <c r="H41" s="94" t="e">
        <f>VLOOKUP(Table14[[#This Row],[FECHA /HORA]],TBL_CalcDarwin[],44,0)</f>
        <v>#N/A</v>
      </c>
      <c r="I41" s="94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91">
        <f>Table110[[#This Row],[Fecha]]</f>
        <v>45444.708333333241</v>
      </c>
      <c r="C42" s="52">
        <f>Table110[[#This Row],[Hora]]</f>
        <v>1.7083333333333341</v>
      </c>
      <c r="D42" s="92">
        <f>Table14[[#This Row],[Fecha]]</f>
        <v>45444.708333333241</v>
      </c>
      <c r="E42" s="53" t="e">
        <f>Table110[[#This Row],[Viento m/s]]</f>
        <v>#N/A</v>
      </c>
      <c r="F42" s="95" t="e">
        <f>VLOOKUP(Table14[[#This Row],[FECHA /HORA]],TBL_CalcDarwin[],46,0)</f>
        <v>#N/A</v>
      </c>
      <c r="G42" s="95" t="e">
        <f>VLOOKUP(Table14[[#This Row],[FECHA /HORA]],TBL_CalcDarwin[],47,0)</f>
        <v>#N/A</v>
      </c>
      <c r="H42" s="95" t="e">
        <f>VLOOKUP(Table14[[#This Row],[FECHA /HORA]],TBL_CalcDarwin[],44,0)</f>
        <v>#N/A</v>
      </c>
      <c r="I42" s="95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91">
        <f>Table110[[#This Row],[Fecha]]</f>
        <v>45444.749999999905</v>
      </c>
      <c r="C43" s="52">
        <f>Table110[[#This Row],[Hora]]</f>
        <v>1.7500000000000009</v>
      </c>
      <c r="D43" s="92">
        <f>Table14[[#This Row],[Fecha]]</f>
        <v>45444.749999999905</v>
      </c>
      <c r="E43" s="53" t="e">
        <f>Table110[[#This Row],[Viento m/s]]</f>
        <v>#N/A</v>
      </c>
      <c r="F43" s="94" t="e">
        <f>VLOOKUP(Table14[[#This Row],[FECHA /HORA]],TBL_CalcDarwin[],46,0)</f>
        <v>#N/A</v>
      </c>
      <c r="G43" s="94" t="e">
        <f>VLOOKUP(Table14[[#This Row],[FECHA /HORA]],TBL_CalcDarwin[],47,0)</f>
        <v>#N/A</v>
      </c>
      <c r="H43" s="94" t="e">
        <f>VLOOKUP(Table14[[#This Row],[FECHA /HORA]],TBL_CalcDarwin[],44,0)</f>
        <v>#N/A</v>
      </c>
      <c r="I43" s="94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91">
        <f>Table110[[#This Row],[Fecha]]</f>
        <v>45444.79166666657</v>
      </c>
      <c r="C44" s="52">
        <f>Table110[[#This Row],[Hora]]</f>
        <v>1.7916666666666676</v>
      </c>
      <c r="D44" s="92">
        <f>Table14[[#This Row],[Fecha]]</f>
        <v>45444.79166666657</v>
      </c>
      <c r="E44" s="53" t="e">
        <f>Table110[[#This Row],[Viento m/s]]</f>
        <v>#N/A</v>
      </c>
      <c r="F44" s="95" t="e">
        <f>VLOOKUP(Table14[[#This Row],[FECHA /HORA]],TBL_CalcDarwin[],46,0)</f>
        <v>#N/A</v>
      </c>
      <c r="G44" s="95" t="e">
        <f>VLOOKUP(Table14[[#This Row],[FECHA /HORA]],TBL_CalcDarwin[],47,0)</f>
        <v>#N/A</v>
      </c>
      <c r="H44" s="95" t="e">
        <f>VLOOKUP(Table14[[#This Row],[FECHA /HORA]],TBL_CalcDarwin[],44,0)</f>
        <v>#N/A</v>
      </c>
      <c r="I44" s="95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91">
        <f>Table110[[#This Row],[Fecha]]</f>
        <v>45444.833333333234</v>
      </c>
      <c r="C45" s="52">
        <f>Table110[[#This Row],[Hora]]</f>
        <v>1.8333333333333344</v>
      </c>
      <c r="D45" s="92">
        <f>Table14[[#This Row],[Fecha]]</f>
        <v>45444.833333333234</v>
      </c>
      <c r="E45" s="53" t="e">
        <f>Table110[[#This Row],[Viento m/s]]</f>
        <v>#N/A</v>
      </c>
      <c r="F45" s="94" t="e">
        <f>VLOOKUP(Table14[[#This Row],[FECHA /HORA]],TBL_CalcDarwin[],46,0)</f>
        <v>#N/A</v>
      </c>
      <c r="G45" s="94" t="e">
        <f>VLOOKUP(Table14[[#This Row],[FECHA /HORA]],TBL_CalcDarwin[],47,0)</f>
        <v>#N/A</v>
      </c>
      <c r="H45" s="94" t="e">
        <f>VLOOKUP(Table14[[#This Row],[FECHA /HORA]],TBL_CalcDarwin[],44,0)</f>
        <v>#N/A</v>
      </c>
      <c r="I45" s="94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91">
        <f>Table110[[#This Row],[Fecha]]</f>
        <v>45444.874999999898</v>
      </c>
      <c r="C46" s="52">
        <f>Table110[[#This Row],[Hora]]</f>
        <v>1.8750000000000011</v>
      </c>
      <c r="D46" s="92">
        <f>Table14[[#This Row],[Fecha]]</f>
        <v>45444.874999999898</v>
      </c>
      <c r="E46" s="53" t="e">
        <f>Table110[[#This Row],[Viento m/s]]</f>
        <v>#N/A</v>
      </c>
      <c r="F46" s="95" t="e">
        <f>VLOOKUP(Table14[[#This Row],[FECHA /HORA]],TBL_CalcDarwin[],46,0)</f>
        <v>#N/A</v>
      </c>
      <c r="G46" s="95" t="e">
        <f>VLOOKUP(Table14[[#This Row],[FECHA /HORA]],TBL_CalcDarwin[],47,0)</f>
        <v>#N/A</v>
      </c>
      <c r="H46" s="95" t="e">
        <f>VLOOKUP(Table14[[#This Row],[FECHA /HORA]],TBL_CalcDarwin[],44,0)</f>
        <v>#N/A</v>
      </c>
      <c r="I46" s="95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91">
        <f>Table110[[#This Row],[Fecha]]</f>
        <v>45444.916666666562</v>
      </c>
      <c r="C47" s="52">
        <f>Table110[[#This Row],[Hora]]</f>
        <v>1.9166666666666679</v>
      </c>
      <c r="D47" s="92">
        <f>Table14[[#This Row],[Fecha]]</f>
        <v>45444.916666666562</v>
      </c>
      <c r="E47" s="53" t="e">
        <f>Table110[[#This Row],[Viento m/s]]</f>
        <v>#N/A</v>
      </c>
      <c r="F47" s="94" t="e">
        <f>VLOOKUP(Table14[[#This Row],[FECHA /HORA]],TBL_CalcDarwin[],46,0)</f>
        <v>#N/A</v>
      </c>
      <c r="G47" s="94" t="e">
        <f>VLOOKUP(Table14[[#This Row],[FECHA /HORA]],TBL_CalcDarwin[],47,0)</f>
        <v>#N/A</v>
      </c>
      <c r="H47" s="94" t="e">
        <f>VLOOKUP(Table14[[#This Row],[FECHA /HORA]],TBL_CalcDarwin[],44,0)</f>
        <v>#N/A</v>
      </c>
      <c r="I47" s="94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91">
        <f>Table110[[#This Row],[Fecha]]</f>
        <v>45444.958333333227</v>
      </c>
      <c r="C48" s="52">
        <f>Table110[[#This Row],[Hora]]</f>
        <v>1.9583333333333346</v>
      </c>
      <c r="D48" s="92">
        <f>Table14[[#This Row],[Fecha]]</f>
        <v>45444.958333333227</v>
      </c>
      <c r="E48" s="53" t="e">
        <f>Table110[[#This Row],[Viento m/s]]</f>
        <v>#N/A</v>
      </c>
      <c r="F48" s="95" t="e">
        <f>VLOOKUP(Table14[[#This Row],[FECHA /HORA]],TBL_CalcDarwin[],46,0)</f>
        <v>#N/A</v>
      </c>
      <c r="G48" s="95" t="e">
        <f>VLOOKUP(Table14[[#This Row],[FECHA /HORA]],TBL_CalcDarwin[],47,0)</f>
        <v>#N/A</v>
      </c>
      <c r="H48" s="95" t="e">
        <f>VLOOKUP(Table14[[#This Row],[FECHA /HORA]],TBL_CalcDarwin[],44,0)</f>
        <v>#N/A</v>
      </c>
      <c r="I48" s="95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91">
        <f>Table110[[#This Row],[Fecha]]</f>
        <v>45444.999999999891</v>
      </c>
      <c r="C49" s="52">
        <f>Table110[[#This Row],[Hora]]</f>
        <v>2.0000000000000013</v>
      </c>
      <c r="D49" s="92">
        <f>Table14[[#This Row],[Fecha]]</f>
        <v>45444.999999999891</v>
      </c>
      <c r="E49" s="53" t="e">
        <f>Table110[[#This Row],[Viento m/s]]</f>
        <v>#N/A</v>
      </c>
      <c r="F49" s="94" t="e">
        <f>VLOOKUP(Table14[[#This Row],[FECHA /HORA]],TBL_CalcDarwin[],46,0)</f>
        <v>#N/A</v>
      </c>
      <c r="G49" s="94" t="e">
        <f>VLOOKUP(Table14[[#This Row],[FECHA /HORA]],TBL_CalcDarwin[],47,0)</f>
        <v>#N/A</v>
      </c>
      <c r="H49" s="94" t="e">
        <f>VLOOKUP(Table14[[#This Row],[FECHA /HORA]],TBL_CalcDarwin[],44,0)</f>
        <v>#N/A</v>
      </c>
      <c r="I49" s="94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91">
        <f>Table110[[#This Row],[Fecha]]</f>
        <v>45445.041666666555</v>
      </c>
      <c r="C50" s="52">
        <f>Table110[[#This Row],[Hora]]</f>
        <v>2.0416666666666679</v>
      </c>
      <c r="D50" s="92">
        <f>Table14[[#This Row],[Fecha]]</f>
        <v>45445.041666666555</v>
      </c>
      <c r="E50" s="53" t="e">
        <f>Table110[[#This Row],[Viento m/s]]</f>
        <v>#N/A</v>
      </c>
      <c r="F50" s="95" t="e">
        <f>VLOOKUP(Table14[[#This Row],[FECHA /HORA]],TBL_CalcDarwin[],46,0)</f>
        <v>#N/A</v>
      </c>
      <c r="G50" s="95" t="e">
        <f>VLOOKUP(Table14[[#This Row],[FECHA /HORA]],TBL_CalcDarwin[],47,0)</f>
        <v>#N/A</v>
      </c>
      <c r="H50" s="95" t="e">
        <f>VLOOKUP(Table14[[#This Row],[FECHA /HORA]],TBL_CalcDarwin[],44,0)</f>
        <v>#N/A</v>
      </c>
      <c r="I50" s="95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91">
        <f>Table110[[#This Row],[Fecha]]</f>
        <v>45445.083333333219</v>
      </c>
      <c r="C51" s="52">
        <f>Table110[[#This Row],[Hora]]</f>
        <v>2.0833333333333344</v>
      </c>
      <c r="D51" s="92">
        <f>Table14[[#This Row],[Fecha]]</f>
        <v>45445.083333333219</v>
      </c>
      <c r="E51" s="53" t="e">
        <f>Table110[[#This Row],[Viento m/s]]</f>
        <v>#N/A</v>
      </c>
      <c r="F51" s="96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5" t="e">
        <f>VLOOKUP(Table14[[#This Row],[FECHA /HORA]],TBL_CalcDarwin[],44,0)</f>
        <v>#N/A</v>
      </c>
      <c r="I51" s="95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91">
        <f>Table110[[#This Row],[Fecha]]</f>
        <v>45445.124999999884</v>
      </c>
      <c r="C52" s="52">
        <f>Table110[[#This Row],[Hora]]</f>
        <v>2.1250000000000009</v>
      </c>
      <c r="D52" s="92">
        <f>Table14[[#This Row],[Fecha]]</f>
        <v>45445.124999999884</v>
      </c>
      <c r="E52" s="53" t="e">
        <f>Table110[[#This Row],[Viento m/s]]</f>
        <v>#N/A</v>
      </c>
      <c r="F52" s="96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5" t="e">
        <f>VLOOKUP(Table14[[#This Row],[FECHA /HORA]],TBL_CalcDarwin[],44,0)</f>
        <v>#N/A</v>
      </c>
      <c r="I52" s="95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91">
        <f>Table110[[#This Row],[Fecha]]</f>
        <v>45445.166666666548</v>
      </c>
      <c r="C53" s="52">
        <f>Table110[[#This Row],[Hora]]</f>
        <v>2.1666666666666674</v>
      </c>
      <c r="D53" s="92">
        <f>Table14[[#This Row],[Fecha]]</f>
        <v>45445.166666666548</v>
      </c>
      <c r="E53" s="53" t="e">
        <f>Table110[[#This Row],[Viento m/s]]</f>
        <v>#N/A</v>
      </c>
      <c r="F53" s="96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5" t="e">
        <f>VLOOKUP(Table14[[#This Row],[FECHA /HORA]],TBL_CalcDarwin[],44,0)</f>
        <v>#N/A</v>
      </c>
      <c r="I53" s="95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91">
        <f>Table110[[#This Row],[Fecha]]</f>
        <v>45445.208333333212</v>
      </c>
      <c r="C54" s="52">
        <f>Table110[[#This Row],[Hora]]</f>
        <v>2.2083333333333339</v>
      </c>
      <c r="D54" s="92">
        <f>Table14[[#This Row],[Fecha]]</f>
        <v>45445.208333333212</v>
      </c>
      <c r="E54" s="53" t="e">
        <f>Table110[[#This Row],[Viento m/s]]</f>
        <v>#N/A</v>
      </c>
      <c r="F54" s="96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5" t="e">
        <f>VLOOKUP(Table14[[#This Row],[FECHA /HORA]],TBL_CalcDarwin[],44,0)</f>
        <v>#N/A</v>
      </c>
      <c r="I54" s="95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91">
        <f>Table110[[#This Row],[Fecha]]</f>
        <v>45445.249999999876</v>
      </c>
      <c r="C55" s="52">
        <f>Table110[[#This Row],[Hora]]</f>
        <v>2.2500000000000004</v>
      </c>
      <c r="D55" s="92">
        <f>Table14[[#This Row],[Fecha]]</f>
        <v>45445.249999999876</v>
      </c>
      <c r="E55" s="53" t="e">
        <f>Table110[[#This Row],[Viento m/s]]</f>
        <v>#N/A</v>
      </c>
      <c r="F55" s="96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5" t="e">
        <f>VLOOKUP(Table14[[#This Row],[FECHA /HORA]],TBL_CalcDarwin[],44,0)</f>
        <v>#N/A</v>
      </c>
      <c r="I55" s="95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91">
        <f>Table110[[#This Row],[Fecha]]</f>
        <v>45445.291666666541</v>
      </c>
      <c r="C56" s="52">
        <f>Table110[[#This Row],[Hora]]</f>
        <v>2.291666666666667</v>
      </c>
      <c r="D56" s="92">
        <f>Table14[[#This Row],[Fecha]]</f>
        <v>45445.291666666541</v>
      </c>
      <c r="E56" s="53" t="e">
        <f>Table110[[#This Row],[Viento m/s]]</f>
        <v>#N/A</v>
      </c>
      <c r="F56" s="96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5" t="e">
        <f>VLOOKUP(Table14[[#This Row],[FECHA /HORA]],TBL_CalcDarwin[],44,0)</f>
        <v>#N/A</v>
      </c>
      <c r="I56" s="95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91">
        <f>Table110[[#This Row],[Fecha]]</f>
        <v>45445.333333333205</v>
      </c>
      <c r="C57" s="52">
        <f>Table110[[#This Row],[Hora]]</f>
        <v>2.3333333333333335</v>
      </c>
      <c r="D57" s="92">
        <f>Table14[[#This Row],[Fecha]]</f>
        <v>45445.333333333205</v>
      </c>
      <c r="E57" s="53" t="e">
        <f>Table110[[#This Row],[Viento m/s]]</f>
        <v>#N/A</v>
      </c>
      <c r="F57" s="96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5" t="e">
        <f>VLOOKUP(Table14[[#This Row],[FECHA /HORA]],TBL_CalcDarwin[],44,0)</f>
        <v>#N/A</v>
      </c>
      <c r="I57" s="95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91">
        <f>Table110[[#This Row],[Fecha]]</f>
        <v>45445.374999999869</v>
      </c>
      <c r="C58" s="52">
        <f>Table110[[#This Row],[Hora]]</f>
        <v>2.375</v>
      </c>
      <c r="D58" s="92">
        <f>Table14[[#This Row],[Fecha]]</f>
        <v>45445.374999999869</v>
      </c>
      <c r="E58" s="53" t="e">
        <f>Table110[[#This Row],[Viento m/s]]</f>
        <v>#N/A</v>
      </c>
      <c r="F58" s="96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5" t="e">
        <f>VLOOKUP(Table14[[#This Row],[FECHA /HORA]],TBL_CalcDarwin[],44,0)</f>
        <v>#N/A</v>
      </c>
      <c r="I58" s="95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91">
        <f>Table110[[#This Row],[Fecha]]</f>
        <v>45445.416666666533</v>
      </c>
      <c r="C59" s="52">
        <f>Table110[[#This Row],[Hora]]</f>
        <v>2.4166666666666665</v>
      </c>
      <c r="D59" s="92">
        <f>Table14[[#This Row],[Fecha]]</f>
        <v>45445.416666666533</v>
      </c>
      <c r="E59" s="53" t="e">
        <f>Table110[[#This Row],[Viento m/s]]</f>
        <v>#N/A</v>
      </c>
      <c r="F59" s="96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5" t="e">
        <f>VLOOKUP(Table14[[#This Row],[FECHA /HORA]],TBL_CalcDarwin[],44,0)</f>
        <v>#N/A</v>
      </c>
      <c r="I59" s="95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91">
        <f>Table110[[#This Row],[Fecha]]</f>
        <v>45445.458333333198</v>
      </c>
      <c r="C60" s="52">
        <f>Table110[[#This Row],[Hora]]</f>
        <v>2.458333333333333</v>
      </c>
      <c r="D60" s="92">
        <f>Table14[[#This Row],[Fecha]]</f>
        <v>45445.458333333198</v>
      </c>
      <c r="E60" s="53" t="e">
        <f>Table110[[#This Row],[Viento m/s]]</f>
        <v>#N/A</v>
      </c>
      <c r="F60" s="96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5" t="e">
        <f>VLOOKUP(Table14[[#This Row],[FECHA /HORA]],TBL_CalcDarwin[],44,0)</f>
        <v>#N/A</v>
      </c>
      <c r="I60" s="95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91">
        <f>Table110[[#This Row],[Fecha]]</f>
        <v>45445.499999999862</v>
      </c>
      <c r="C61" s="52">
        <f>Table110[[#This Row],[Hora]]</f>
        <v>2.4999999999999996</v>
      </c>
      <c r="D61" s="92">
        <f>Table14[[#This Row],[Fecha]]</f>
        <v>45445.499999999862</v>
      </c>
      <c r="E61" s="53" t="e">
        <f>Table110[[#This Row],[Viento m/s]]</f>
        <v>#N/A</v>
      </c>
      <c r="F61" s="96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5" t="e">
        <f>VLOOKUP(Table14[[#This Row],[FECHA /HORA]],TBL_CalcDarwin[],44,0)</f>
        <v>#N/A</v>
      </c>
      <c r="I61" s="95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91">
        <f>Table110[[#This Row],[Fecha]]</f>
        <v>45445.541666666526</v>
      </c>
      <c r="C62" s="52">
        <f>Table110[[#This Row],[Hora]]</f>
        <v>2.5416666666666661</v>
      </c>
      <c r="D62" s="92">
        <f>Table14[[#This Row],[Fecha]]</f>
        <v>45445.541666666526</v>
      </c>
      <c r="E62" s="53" t="e">
        <f>Table110[[#This Row],[Viento m/s]]</f>
        <v>#N/A</v>
      </c>
      <c r="F62" s="96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5" t="e">
        <f>VLOOKUP(Table14[[#This Row],[FECHA /HORA]],TBL_CalcDarwin[],44,0)</f>
        <v>#N/A</v>
      </c>
      <c r="I62" s="95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91">
        <f>Table110[[#This Row],[Fecha]]</f>
        <v>45445.58333333319</v>
      </c>
      <c r="C63" s="52">
        <f>Table110[[#This Row],[Hora]]</f>
        <v>2.5833333333333326</v>
      </c>
      <c r="D63" s="92">
        <f>Table14[[#This Row],[Fecha]]</f>
        <v>45445.58333333319</v>
      </c>
      <c r="E63" s="53" t="e">
        <f>Table110[[#This Row],[Viento m/s]]</f>
        <v>#N/A</v>
      </c>
      <c r="F63" s="96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5" t="e">
        <f>VLOOKUP(Table14[[#This Row],[FECHA /HORA]],TBL_CalcDarwin[],44,0)</f>
        <v>#N/A</v>
      </c>
      <c r="I63" s="95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91">
        <f>Table110[[#This Row],[Fecha]]</f>
        <v>45445.624999999854</v>
      </c>
      <c r="C64" s="52">
        <f>Table110[[#This Row],[Hora]]</f>
        <v>2.6249999999999991</v>
      </c>
      <c r="D64" s="92">
        <f>Table14[[#This Row],[Fecha]]</f>
        <v>45445.624999999854</v>
      </c>
      <c r="E64" s="53" t="e">
        <f>Table110[[#This Row],[Viento m/s]]</f>
        <v>#N/A</v>
      </c>
      <c r="F64" s="96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5" t="e">
        <f>VLOOKUP(Table14[[#This Row],[FECHA /HORA]],TBL_CalcDarwin[],44,0)</f>
        <v>#N/A</v>
      </c>
      <c r="I64" s="95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91">
        <f>Table110[[#This Row],[Fecha]]</f>
        <v>45445.666666666519</v>
      </c>
      <c r="C65" s="52">
        <f>Table110[[#This Row],[Hora]]</f>
        <v>2.6666666666666656</v>
      </c>
      <c r="D65" s="92">
        <f>Table14[[#This Row],[Fecha]]</f>
        <v>45445.666666666519</v>
      </c>
      <c r="E65" s="53" t="e">
        <f>Table110[[#This Row],[Viento m/s]]</f>
        <v>#N/A</v>
      </c>
      <c r="F65" s="96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5" t="e">
        <f>VLOOKUP(Table14[[#This Row],[FECHA /HORA]],TBL_CalcDarwin[],44,0)</f>
        <v>#N/A</v>
      </c>
      <c r="I65" s="95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91">
        <f>Table110[[#This Row],[Fecha]]</f>
        <v>45445.708333333183</v>
      </c>
      <c r="C66" s="52">
        <f>Table110[[#This Row],[Hora]]</f>
        <v>2.7083333333333321</v>
      </c>
      <c r="D66" s="92">
        <f>Table14[[#This Row],[Fecha]]</f>
        <v>45445.708333333183</v>
      </c>
      <c r="E66" s="53" t="e">
        <f>Table110[[#This Row],[Viento m/s]]</f>
        <v>#N/A</v>
      </c>
      <c r="F66" s="96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5" t="e">
        <f>VLOOKUP(Table14[[#This Row],[FECHA /HORA]],TBL_CalcDarwin[],44,0)</f>
        <v>#N/A</v>
      </c>
      <c r="I66" s="95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91">
        <f>Table110[[#This Row],[Fecha]]</f>
        <v>45445.749999999847</v>
      </c>
      <c r="C67" s="52">
        <f>Table110[[#This Row],[Hora]]</f>
        <v>2.7499999999999987</v>
      </c>
      <c r="D67" s="92">
        <f>Table14[[#This Row],[Fecha]]</f>
        <v>45445.749999999847</v>
      </c>
      <c r="E67" s="53" t="e">
        <f>Table110[[#This Row],[Viento m/s]]</f>
        <v>#N/A</v>
      </c>
      <c r="F67" s="96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5" t="e">
        <f>VLOOKUP(Table14[[#This Row],[FECHA /HORA]],TBL_CalcDarwin[],44,0)</f>
        <v>#N/A</v>
      </c>
      <c r="I67" s="95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91">
        <f>Table110[[#This Row],[Fecha]]</f>
        <v>45445.791666666511</v>
      </c>
      <c r="C68" s="52">
        <f>Table110[[#This Row],[Hora]]</f>
        <v>2.7916666666666652</v>
      </c>
      <c r="D68" s="92">
        <f>Table14[[#This Row],[Fecha]]</f>
        <v>45445.791666666511</v>
      </c>
      <c r="E68" s="53" t="e">
        <f>Table110[[#This Row],[Viento m/s]]</f>
        <v>#N/A</v>
      </c>
      <c r="F68" s="96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5" t="e">
        <f>VLOOKUP(Table14[[#This Row],[FECHA /HORA]],TBL_CalcDarwin[],44,0)</f>
        <v>#N/A</v>
      </c>
      <c r="I68" s="95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91">
        <f>Table110[[#This Row],[Fecha]]</f>
        <v>45445.833333333176</v>
      </c>
      <c r="C69" s="52">
        <f>Table110[[#This Row],[Hora]]</f>
        <v>2.8333333333333317</v>
      </c>
      <c r="D69" s="92">
        <f>Table14[[#This Row],[Fecha]]</f>
        <v>45445.833333333176</v>
      </c>
      <c r="E69" s="53" t="e">
        <f>Table110[[#This Row],[Viento m/s]]</f>
        <v>#N/A</v>
      </c>
      <c r="F69" s="96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5" t="e">
        <f>VLOOKUP(Table14[[#This Row],[FECHA /HORA]],TBL_CalcDarwin[],44,0)</f>
        <v>#N/A</v>
      </c>
      <c r="I69" s="95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91">
        <f>Table110[[#This Row],[Fecha]]</f>
        <v>45445.87499999984</v>
      </c>
      <c r="C70" s="52">
        <f>Table110[[#This Row],[Hora]]</f>
        <v>2.8749999999999982</v>
      </c>
      <c r="D70" s="92">
        <f>Table14[[#This Row],[Fecha]]</f>
        <v>45445.87499999984</v>
      </c>
      <c r="E70" s="53" t="e">
        <f>Table110[[#This Row],[Viento m/s]]</f>
        <v>#N/A</v>
      </c>
      <c r="F70" s="96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5" t="e">
        <f>VLOOKUP(Table14[[#This Row],[FECHA /HORA]],TBL_CalcDarwin[],44,0)</f>
        <v>#N/A</v>
      </c>
      <c r="I70" s="95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91">
        <f>Table110[[#This Row],[Fecha]]</f>
        <v>45445.916666666504</v>
      </c>
      <c r="C71" s="52">
        <f>Table110[[#This Row],[Hora]]</f>
        <v>2.9166666666666647</v>
      </c>
      <c r="D71" s="92">
        <f>Table14[[#This Row],[Fecha]]</f>
        <v>45445.916666666504</v>
      </c>
      <c r="E71" s="53" t="e">
        <f>Table110[[#This Row],[Viento m/s]]</f>
        <v>#N/A</v>
      </c>
      <c r="F71" s="96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5" t="e">
        <f>VLOOKUP(Table14[[#This Row],[FECHA /HORA]],TBL_CalcDarwin[],44,0)</f>
        <v>#N/A</v>
      </c>
      <c r="I71" s="95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91">
        <f>Table110[[#This Row],[Fecha]]</f>
        <v>45445.958333333168</v>
      </c>
      <c r="C72" s="52">
        <f>Table110[[#This Row],[Hora]]</f>
        <v>2.9583333333333313</v>
      </c>
      <c r="D72" s="92">
        <f>Table14[[#This Row],[Fecha]]</f>
        <v>45445.958333333168</v>
      </c>
      <c r="E72" s="53" t="e">
        <f>Table110[[#This Row],[Viento m/s]]</f>
        <v>#N/A</v>
      </c>
      <c r="F72" s="96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5" t="e">
        <f>VLOOKUP(Table14[[#This Row],[FECHA /HORA]],TBL_CalcDarwin[],44,0)</f>
        <v>#N/A</v>
      </c>
      <c r="I72" s="95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91">
        <f>Table110[[#This Row],[Fecha]]</f>
        <v>45445.999999999833</v>
      </c>
      <c r="C73" s="52">
        <f>Table110[[#This Row],[Hora]]</f>
        <v>2.9999999999999978</v>
      </c>
      <c r="D73" s="92">
        <f>Table14[[#This Row],[Fecha]]</f>
        <v>45445.999999999833</v>
      </c>
      <c r="E73" s="53" t="e">
        <f>Table110[[#This Row],[Viento m/s]]</f>
        <v>#N/A</v>
      </c>
      <c r="F73" s="96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5" t="e">
        <f>VLOOKUP(Table14[[#This Row],[FECHA /HORA]],TBL_CalcDarwin[],44,0)</f>
        <v>#N/A</v>
      </c>
      <c r="I73" s="95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91">
        <f>Table110[[#This Row],[Fecha]]</f>
        <v>45446.041666666497</v>
      </c>
      <c r="C74" s="52">
        <f>Table110[[#This Row],[Hora]]</f>
        <v>3.0416666666666643</v>
      </c>
      <c r="D74" s="92">
        <f>Table14[[#This Row],[Fecha]]</f>
        <v>45446.041666666497</v>
      </c>
      <c r="E74" s="53" t="e">
        <f>Table110[[#This Row],[Viento m/s]]</f>
        <v>#N/A</v>
      </c>
      <c r="F74" s="96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5" t="e">
        <f>VLOOKUP(Table14[[#This Row],[FECHA /HORA]],TBL_CalcDarwin[],44,0)</f>
        <v>#N/A</v>
      </c>
      <c r="I74" s="95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91">
        <f>Table110[[#This Row],[Fecha]]</f>
        <v>45446.083333333161</v>
      </c>
      <c r="C75" s="52">
        <f>Table110[[#This Row],[Hora]]</f>
        <v>3.0833333333333308</v>
      </c>
      <c r="D75" s="92">
        <f>Table14[[#This Row],[Fecha]]</f>
        <v>45446.083333333161</v>
      </c>
      <c r="E75" s="53" t="e">
        <f>Table110[[#This Row],[Viento m/s]]</f>
        <v>#N/A</v>
      </c>
      <c r="F75" s="96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5" t="e">
        <f>VLOOKUP(Table14[[#This Row],[FECHA /HORA]],TBL_CalcDarwin[],44,0)</f>
        <v>#N/A</v>
      </c>
      <c r="I75" s="95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91">
        <f>Table110[[#This Row],[Fecha]]</f>
        <v>45446.124999999825</v>
      </c>
      <c r="C76" s="52">
        <f>Table110[[#This Row],[Hora]]</f>
        <v>3.1249999999999973</v>
      </c>
      <c r="D76" s="92">
        <f>Table14[[#This Row],[Fecha]]</f>
        <v>45446.124999999825</v>
      </c>
      <c r="E76" s="53" t="e">
        <f>Table110[[#This Row],[Viento m/s]]</f>
        <v>#N/A</v>
      </c>
      <c r="F76" s="96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5" t="e">
        <f>VLOOKUP(Table14[[#This Row],[FECHA /HORA]],TBL_CalcDarwin[],44,0)</f>
        <v>#N/A</v>
      </c>
      <c r="I76" s="95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91">
        <f>Table110[[#This Row],[Fecha]]</f>
        <v>45446.16666666649</v>
      </c>
      <c r="C77" s="52">
        <f>Table110[[#This Row],[Hora]]</f>
        <v>3.1666666666666639</v>
      </c>
      <c r="D77" s="92">
        <f>Table14[[#This Row],[Fecha]]</f>
        <v>45446.16666666649</v>
      </c>
      <c r="E77" s="53" t="e">
        <f>Table110[[#This Row],[Viento m/s]]</f>
        <v>#N/A</v>
      </c>
      <c r="F77" s="96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5" t="e">
        <f>VLOOKUP(Table14[[#This Row],[FECHA /HORA]],TBL_CalcDarwin[],44,0)</f>
        <v>#N/A</v>
      </c>
      <c r="I77" s="95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91">
        <f>Table110[[#This Row],[Fecha]]</f>
        <v>45446.208333333154</v>
      </c>
      <c r="C78" s="52">
        <f>Table110[[#This Row],[Hora]]</f>
        <v>3.2083333333333304</v>
      </c>
      <c r="D78" s="92">
        <f>Table14[[#This Row],[Fecha]]</f>
        <v>45446.208333333154</v>
      </c>
      <c r="E78" s="53" t="e">
        <f>Table110[[#This Row],[Viento m/s]]</f>
        <v>#N/A</v>
      </c>
      <c r="F78" s="96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5" t="e">
        <f>VLOOKUP(Table14[[#This Row],[FECHA /HORA]],TBL_CalcDarwin[],44,0)</f>
        <v>#N/A</v>
      </c>
      <c r="I78" s="95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91">
        <f>Table110[[#This Row],[Fecha]]</f>
        <v>45446.249999999818</v>
      </c>
      <c r="C79" s="52">
        <f>Table110[[#This Row],[Hora]]</f>
        <v>3.2499999999999969</v>
      </c>
      <c r="D79" s="92">
        <f>Table14[[#This Row],[Fecha]]</f>
        <v>45446.249999999818</v>
      </c>
      <c r="E79" s="53" t="e">
        <f>Table110[[#This Row],[Viento m/s]]</f>
        <v>#N/A</v>
      </c>
      <c r="F79" s="96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5" t="e">
        <f>VLOOKUP(Table14[[#This Row],[FECHA /HORA]],TBL_CalcDarwin[],44,0)</f>
        <v>#N/A</v>
      </c>
      <c r="I79" s="95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91">
        <f>Table110[[#This Row],[Fecha]]</f>
        <v>45446.291666666482</v>
      </c>
      <c r="C80" s="52">
        <f>Table110[[#This Row],[Hora]]</f>
        <v>3.2916666666666634</v>
      </c>
      <c r="D80" s="92">
        <f>Table14[[#This Row],[Fecha]]</f>
        <v>45446.291666666482</v>
      </c>
      <c r="E80" s="53" t="e">
        <f>Table110[[#This Row],[Viento m/s]]</f>
        <v>#N/A</v>
      </c>
      <c r="F80" s="96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5" t="e">
        <f>VLOOKUP(Table14[[#This Row],[FECHA /HORA]],TBL_CalcDarwin[],44,0)</f>
        <v>#N/A</v>
      </c>
      <c r="I80" s="95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91">
        <f>Table110[[#This Row],[Fecha]]</f>
        <v>45446.333333333147</v>
      </c>
      <c r="C81" s="52">
        <f>Table110[[#This Row],[Hora]]</f>
        <v>3.3333333333333299</v>
      </c>
      <c r="D81" s="92">
        <f>Table14[[#This Row],[Fecha]]</f>
        <v>45446.333333333147</v>
      </c>
      <c r="E81" s="53" t="e">
        <f>Table110[[#This Row],[Viento m/s]]</f>
        <v>#N/A</v>
      </c>
      <c r="F81" s="96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5" t="e">
        <f>VLOOKUP(Table14[[#This Row],[FECHA /HORA]],TBL_CalcDarwin[],44,0)</f>
        <v>#N/A</v>
      </c>
      <c r="I81" s="95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91">
        <f>Table110[[#This Row],[Fecha]]</f>
        <v>45446.374999999811</v>
      </c>
      <c r="C82" s="52">
        <f>Table110[[#This Row],[Hora]]</f>
        <v>3.3749999999999964</v>
      </c>
      <c r="D82" s="92">
        <f>Table14[[#This Row],[Fecha]]</f>
        <v>45446.374999999811</v>
      </c>
      <c r="E82" s="53" t="e">
        <f>Table110[[#This Row],[Viento m/s]]</f>
        <v>#N/A</v>
      </c>
      <c r="F82" s="96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5" t="e">
        <f>VLOOKUP(Table14[[#This Row],[FECHA /HORA]],TBL_CalcDarwin[],44,0)</f>
        <v>#N/A</v>
      </c>
      <c r="I82" s="95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91">
        <f>Table110[[#This Row],[Fecha]]</f>
        <v>45446.416666666475</v>
      </c>
      <c r="C83" s="52">
        <f>Table110[[#This Row],[Hora]]</f>
        <v>3.416666666666663</v>
      </c>
      <c r="D83" s="92">
        <f>Table14[[#This Row],[Fecha]]</f>
        <v>45446.416666666475</v>
      </c>
      <c r="E83" s="53" t="e">
        <f>Table110[[#This Row],[Viento m/s]]</f>
        <v>#N/A</v>
      </c>
      <c r="F83" s="96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5" t="e">
        <f>VLOOKUP(Table14[[#This Row],[FECHA /HORA]],TBL_CalcDarwin[],44,0)</f>
        <v>#N/A</v>
      </c>
      <c r="I83" s="95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91">
        <f>Table110[[#This Row],[Fecha]]</f>
        <v>45446.458333333139</v>
      </c>
      <c r="C84" s="52">
        <f>Table110[[#This Row],[Hora]]</f>
        <v>3.4583333333333295</v>
      </c>
      <c r="D84" s="92">
        <f>Table14[[#This Row],[Fecha]]</f>
        <v>45446.458333333139</v>
      </c>
      <c r="E84" s="53" t="e">
        <f>Table110[[#This Row],[Viento m/s]]</f>
        <v>#N/A</v>
      </c>
      <c r="F84" s="96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5" t="e">
        <f>VLOOKUP(Table14[[#This Row],[FECHA /HORA]],TBL_CalcDarwin[],44,0)</f>
        <v>#N/A</v>
      </c>
      <c r="I84" s="95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91">
        <f>Table110[[#This Row],[Fecha]]</f>
        <v>45446.499999999804</v>
      </c>
      <c r="C85" s="52">
        <f>Table110[[#This Row],[Hora]]</f>
        <v>3.499999999999996</v>
      </c>
      <c r="D85" s="92">
        <f>Table14[[#This Row],[Fecha]]</f>
        <v>45446.499999999804</v>
      </c>
      <c r="E85" s="53" t="e">
        <f>Table110[[#This Row],[Viento m/s]]</f>
        <v>#N/A</v>
      </c>
      <c r="F85" s="96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5" t="e">
        <f>VLOOKUP(Table14[[#This Row],[FECHA /HORA]],TBL_CalcDarwin[],44,0)</f>
        <v>#N/A</v>
      </c>
      <c r="I85" s="95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91">
        <f>Table110[[#This Row],[Fecha]]</f>
        <v>45446.541666666468</v>
      </c>
      <c r="C86" s="52">
        <f>Table110[[#This Row],[Hora]]</f>
        <v>3.5416666666666625</v>
      </c>
      <c r="D86" s="92">
        <f>Table14[[#This Row],[Fecha]]</f>
        <v>45446.541666666468</v>
      </c>
      <c r="E86" s="53" t="e">
        <f>Table110[[#This Row],[Viento m/s]]</f>
        <v>#N/A</v>
      </c>
      <c r="F86" s="96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5" t="e">
        <f>VLOOKUP(Table14[[#This Row],[FECHA /HORA]],TBL_CalcDarwin[],44,0)</f>
        <v>#N/A</v>
      </c>
      <c r="I86" s="95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91">
        <f>Table110[[#This Row],[Fecha]]</f>
        <v>45446.583333333132</v>
      </c>
      <c r="C87" s="52">
        <f>Table110[[#This Row],[Hora]]</f>
        <v>3.583333333333329</v>
      </c>
      <c r="D87" s="92">
        <f>Table14[[#This Row],[Fecha]]</f>
        <v>45446.583333333132</v>
      </c>
      <c r="E87" s="53" t="e">
        <f>Table110[[#This Row],[Viento m/s]]</f>
        <v>#N/A</v>
      </c>
      <c r="F87" s="96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5" t="e">
        <f>VLOOKUP(Table14[[#This Row],[FECHA /HORA]],TBL_CalcDarwin[],44,0)</f>
        <v>#N/A</v>
      </c>
      <c r="I87" s="95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91">
        <f>Table110[[#This Row],[Fecha]]</f>
        <v>45446.624999999796</v>
      </c>
      <c r="C88" s="52">
        <f>Table110[[#This Row],[Hora]]</f>
        <v>3.6249999999999956</v>
      </c>
      <c r="D88" s="92">
        <f>Table14[[#This Row],[Fecha]]</f>
        <v>45446.624999999796</v>
      </c>
      <c r="E88" s="53" t="e">
        <f>Table110[[#This Row],[Viento m/s]]</f>
        <v>#N/A</v>
      </c>
      <c r="F88" s="96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5" t="e">
        <f>VLOOKUP(Table14[[#This Row],[FECHA /HORA]],TBL_CalcDarwin[],44,0)</f>
        <v>#N/A</v>
      </c>
      <c r="I88" s="95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91">
        <f>Table110[[#This Row],[Fecha]]</f>
        <v>45446.666666666461</v>
      </c>
      <c r="C89" s="52">
        <f>Table110[[#This Row],[Hora]]</f>
        <v>3.6666666666666621</v>
      </c>
      <c r="D89" s="92">
        <f>Table14[[#This Row],[Fecha]]</f>
        <v>45446.666666666461</v>
      </c>
      <c r="E89" s="53" t="e">
        <f>Table110[[#This Row],[Viento m/s]]</f>
        <v>#N/A</v>
      </c>
      <c r="F89" s="96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5" t="e">
        <f>VLOOKUP(Table14[[#This Row],[FECHA /HORA]],TBL_CalcDarwin[],44,0)</f>
        <v>#N/A</v>
      </c>
      <c r="I89" s="95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91">
        <f>Table110[[#This Row],[Fecha]]</f>
        <v>45446.708333333125</v>
      </c>
      <c r="C90" s="52">
        <f>Table110[[#This Row],[Hora]]</f>
        <v>3.7083333333333286</v>
      </c>
      <c r="D90" s="92">
        <f>Table14[[#This Row],[Fecha]]</f>
        <v>45446.708333333125</v>
      </c>
      <c r="E90" s="53" t="e">
        <f>Table110[[#This Row],[Viento m/s]]</f>
        <v>#N/A</v>
      </c>
      <c r="F90" s="96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5" t="e">
        <f>VLOOKUP(Table14[[#This Row],[FECHA /HORA]],TBL_CalcDarwin[],44,0)</f>
        <v>#N/A</v>
      </c>
      <c r="I90" s="95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91">
        <f>Table110[[#This Row],[Fecha]]</f>
        <v>45446.749999999789</v>
      </c>
      <c r="C91" s="52">
        <f>Table110[[#This Row],[Hora]]</f>
        <v>3.7499999999999951</v>
      </c>
      <c r="D91" s="92">
        <f>Table14[[#This Row],[Fecha]]</f>
        <v>45446.749999999789</v>
      </c>
      <c r="E91" s="53" t="e">
        <f>Table110[[#This Row],[Viento m/s]]</f>
        <v>#N/A</v>
      </c>
      <c r="F91" s="96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5" t="e">
        <f>VLOOKUP(Table14[[#This Row],[FECHA /HORA]],TBL_CalcDarwin[],44,0)</f>
        <v>#N/A</v>
      </c>
      <c r="I91" s="95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91">
        <f>Table110[[#This Row],[Fecha]]</f>
        <v>45446.791666666453</v>
      </c>
      <c r="C92" s="52">
        <f>Table110[[#This Row],[Hora]]</f>
        <v>3.7916666666666616</v>
      </c>
      <c r="D92" s="92">
        <f>Table14[[#This Row],[Fecha]]</f>
        <v>45446.791666666453</v>
      </c>
      <c r="E92" s="53" t="e">
        <f>Table110[[#This Row],[Viento m/s]]</f>
        <v>#N/A</v>
      </c>
      <c r="F92" s="96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5" t="e">
        <f>VLOOKUP(Table14[[#This Row],[FECHA /HORA]],TBL_CalcDarwin[],44,0)</f>
        <v>#N/A</v>
      </c>
      <c r="I92" s="95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91">
        <f>Table110[[#This Row],[Fecha]]</f>
        <v>45446.833333333117</v>
      </c>
      <c r="C93" s="52">
        <f>Table110[[#This Row],[Hora]]</f>
        <v>3.8333333333333282</v>
      </c>
      <c r="D93" s="92">
        <f>Table14[[#This Row],[Fecha]]</f>
        <v>45446.833333333117</v>
      </c>
      <c r="E93" s="53" t="e">
        <f>Table110[[#This Row],[Viento m/s]]</f>
        <v>#N/A</v>
      </c>
      <c r="F93" s="96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5" t="e">
        <f>VLOOKUP(Table14[[#This Row],[FECHA /HORA]],TBL_CalcDarwin[],44,0)</f>
        <v>#N/A</v>
      </c>
      <c r="I93" s="95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91">
        <f>Table110[[#This Row],[Fecha]]</f>
        <v>45446.874999999782</v>
      </c>
      <c r="C94" s="52">
        <f>Table110[[#This Row],[Hora]]</f>
        <v>3.8749999999999947</v>
      </c>
      <c r="D94" s="92">
        <f>Table14[[#This Row],[Fecha]]</f>
        <v>45446.874999999782</v>
      </c>
      <c r="E94" s="53" t="e">
        <f>Table110[[#This Row],[Viento m/s]]</f>
        <v>#N/A</v>
      </c>
      <c r="F94" s="96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5" t="e">
        <f>VLOOKUP(Table14[[#This Row],[FECHA /HORA]],TBL_CalcDarwin[],44,0)</f>
        <v>#N/A</v>
      </c>
      <c r="I94" s="95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91">
        <f>Table110[[#This Row],[Fecha]]</f>
        <v>45446.916666666446</v>
      </c>
      <c r="C95" s="52">
        <f>Table110[[#This Row],[Hora]]</f>
        <v>3.9166666666666612</v>
      </c>
      <c r="D95" s="92">
        <f>Table14[[#This Row],[Fecha]]</f>
        <v>45446.916666666446</v>
      </c>
      <c r="E95" s="53" t="e">
        <f>Table110[[#This Row],[Viento m/s]]</f>
        <v>#N/A</v>
      </c>
      <c r="F95" s="96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5" t="e">
        <f>VLOOKUP(Table14[[#This Row],[FECHA /HORA]],TBL_CalcDarwin[],44,0)</f>
        <v>#N/A</v>
      </c>
      <c r="I95" s="95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91">
        <f>Table110[[#This Row],[Fecha]]</f>
        <v>45446.95833333311</v>
      </c>
      <c r="C96" s="52">
        <f>Table110[[#This Row],[Hora]]</f>
        <v>3.9583333333333277</v>
      </c>
      <c r="D96" s="92">
        <f>Table14[[#This Row],[Fecha]]</f>
        <v>45446.95833333311</v>
      </c>
      <c r="E96" s="53" t="e">
        <f>Table110[[#This Row],[Viento m/s]]</f>
        <v>#N/A</v>
      </c>
      <c r="F96" s="96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5" t="e">
        <f>VLOOKUP(Table14[[#This Row],[FECHA /HORA]],TBL_CalcDarwin[],44,0)</f>
        <v>#N/A</v>
      </c>
      <c r="I96" s="95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91">
        <f>Table110[[#This Row],[Fecha]]</f>
        <v>45446.999999999774</v>
      </c>
      <c r="C97" s="52">
        <f>Table110[[#This Row],[Hora]]</f>
        <v>3.9999999999999942</v>
      </c>
      <c r="D97" s="92">
        <f>Table14[[#This Row],[Fecha]]</f>
        <v>45446.999999999774</v>
      </c>
      <c r="E97" s="53" t="e">
        <f>Table110[[#This Row],[Viento m/s]]</f>
        <v>#N/A</v>
      </c>
      <c r="F97" s="96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5" t="e">
        <f>VLOOKUP(Table14[[#This Row],[FECHA /HORA]],TBL_CalcDarwin[],44,0)</f>
        <v>#N/A</v>
      </c>
      <c r="I97" s="95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91">
        <f>Table110[[#This Row],[Fecha]]</f>
        <v>45447.041666666439</v>
      </c>
      <c r="C98" s="52">
        <f>Table110[[#This Row],[Hora]]</f>
        <v>4.0416666666666607</v>
      </c>
      <c r="D98" s="92">
        <f>Table14[[#This Row],[Fecha]]</f>
        <v>45447.041666666439</v>
      </c>
      <c r="E98" s="53" t="e">
        <f>Table110[[#This Row],[Viento m/s]]</f>
        <v>#N/A</v>
      </c>
      <c r="F98" s="97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5" t="e">
        <f>VLOOKUP(Table14[[#This Row],[FECHA /HORA]],TBL_CalcDarwin[],44,0)</f>
        <v>#N/A</v>
      </c>
      <c r="I98" s="95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91">
        <f>Table110[[#This Row],[Fecha]]</f>
        <v>45447.083333333103</v>
      </c>
      <c r="C99" s="52">
        <f>Table110[[#This Row],[Hora]]</f>
        <v>4.0833333333333277</v>
      </c>
      <c r="D99" s="92">
        <f>Table14[[#This Row],[Fecha]]</f>
        <v>45447.083333333103</v>
      </c>
      <c r="E99" s="53" t="e">
        <f>Table110[[#This Row],[Viento m/s]]</f>
        <v>#N/A</v>
      </c>
      <c r="F99" s="96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5" t="e">
        <f>VLOOKUP(Table14[[#This Row],[FECHA /HORA]],TBL_CalcDarwin[],44,0)</f>
        <v>#N/A</v>
      </c>
      <c r="I99" s="95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91">
        <f>Table110[[#This Row],[Fecha]]</f>
        <v>45447.124999999767</v>
      </c>
      <c r="C100" s="52">
        <f>Table110[[#This Row],[Hora]]</f>
        <v>4.1249999999999947</v>
      </c>
      <c r="D100" s="92">
        <f>Table14[[#This Row],[Fecha]]</f>
        <v>45447.124999999767</v>
      </c>
      <c r="E100" s="53" t="e">
        <f>Table110[[#This Row],[Viento m/s]]</f>
        <v>#N/A</v>
      </c>
      <c r="F100" s="96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5" t="e">
        <f>VLOOKUP(Table14[[#This Row],[FECHA /HORA]],TBL_CalcDarwin[],44,0)</f>
        <v>#N/A</v>
      </c>
      <c r="I100" s="95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91">
        <f>Table110[[#This Row],[Fecha]]</f>
        <v>45447.166666666431</v>
      </c>
      <c r="C101" s="52">
        <f>Table110[[#This Row],[Hora]]</f>
        <v>4.1666666666666616</v>
      </c>
      <c r="D101" s="92">
        <f>Table14[[#This Row],[Fecha]]</f>
        <v>45447.166666666431</v>
      </c>
      <c r="E101" s="53" t="e">
        <f>Table110[[#This Row],[Viento m/s]]</f>
        <v>#N/A</v>
      </c>
      <c r="F101" s="96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5" t="e">
        <f>VLOOKUP(Table14[[#This Row],[FECHA /HORA]],TBL_CalcDarwin[],44,0)</f>
        <v>#N/A</v>
      </c>
      <c r="I101" s="95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91">
        <f>Table110[[#This Row],[Fecha]]</f>
        <v>45447.208333333096</v>
      </c>
      <c r="C102" s="52">
        <f>Table110[[#This Row],[Hora]]</f>
        <v>4.2083333333333286</v>
      </c>
      <c r="D102" s="92">
        <f>Table14[[#This Row],[Fecha]]</f>
        <v>45447.208333333096</v>
      </c>
      <c r="E102" s="53" t="e">
        <f>Table110[[#This Row],[Viento m/s]]</f>
        <v>#N/A</v>
      </c>
      <c r="F102" s="96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5" t="e">
        <f>VLOOKUP(Table14[[#This Row],[FECHA /HORA]],TBL_CalcDarwin[],44,0)</f>
        <v>#N/A</v>
      </c>
      <c r="I102" s="95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91">
        <f>Table110[[#This Row],[Fecha]]</f>
        <v>45447.24999999976</v>
      </c>
      <c r="C103" s="52">
        <f>Table110[[#This Row],[Hora]]</f>
        <v>4.2499999999999956</v>
      </c>
      <c r="D103" s="92">
        <f>Table14[[#This Row],[Fecha]]</f>
        <v>45447.24999999976</v>
      </c>
      <c r="E103" s="53" t="e">
        <f>Table110[[#This Row],[Viento m/s]]</f>
        <v>#N/A</v>
      </c>
      <c r="F103" s="96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5" t="e">
        <f>VLOOKUP(Table14[[#This Row],[FECHA /HORA]],TBL_CalcDarwin[],44,0)</f>
        <v>#N/A</v>
      </c>
      <c r="I103" s="95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91">
        <f>Table110[[#This Row],[Fecha]]</f>
        <v>45447.291666666424</v>
      </c>
      <c r="C104" s="52">
        <f>Table110[[#This Row],[Hora]]</f>
        <v>4.2916666666666625</v>
      </c>
      <c r="D104" s="92">
        <f>Table14[[#This Row],[Fecha]]</f>
        <v>45447.291666666424</v>
      </c>
      <c r="E104" s="53" t="e">
        <f>Table110[[#This Row],[Viento m/s]]</f>
        <v>#N/A</v>
      </c>
      <c r="F104" s="96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5" t="e">
        <f>VLOOKUP(Table14[[#This Row],[FECHA /HORA]],TBL_CalcDarwin[],44,0)</f>
        <v>#N/A</v>
      </c>
      <c r="I104" s="95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91">
        <f>Table110[[#This Row],[Fecha]]</f>
        <v>45447.333333333088</v>
      </c>
      <c r="C105" s="52">
        <f>Table110[[#This Row],[Hora]]</f>
        <v>4.3333333333333295</v>
      </c>
      <c r="D105" s="92">
        <f>Table14[[#This Row],[Fecha]]</f>
        <v>45447.333333333088</v>
      </c>
      <c r="E105" s="53" t="e">
        <f>Table110[[#This Row],[Viento m/s]]</f>
        <v>#N/A</v>
      </c>
      <c r="F105" s="96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5" t="e">
        <f>VLOOKUP(Table14[[#This Row],[FECHA /HORA]],TBL_CalcDarwin[],44,0)</f>
        <v>#N/A</v>
      </c>
      <c r="I105" s="95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91">
        <f>Table110[[#This Row],[Fecha]]</f>
        <v>45447.374999999753</v>
      </c>
      <c r="C106" s="52">
        <f>Table110[[#This Row],[Hora]]</f>
        <v>4.3749999999999964</v>
      </c>
      <c r="D106" s="92">
        <f>Table14[[#This Row],[Fecha]]</f>
        <v>45447.374999999753</v>
      </c>
      <c r="E106" s="53" t="e">
        <f>Table110[[#This Row],[Viento m/s]]</f>
        <v>#N/A</v>
      </c>
      <c r="F106" s="96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5" t="e">
        <f>VLOOKUP(Table14[[#This Row],[FECHA /HORA]],TBL_CalcDarwin[],44,0)</f>
        <v>#N/A</v>
      </c>
      <c r="I106" s="95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91">
        <f>Table110[[#This Row],[Fecha]]</f>
        <v>45447.416666666417</v>
      </c>
      <c r="C107" s="52">
        <f>Table110[[#This Row],[Hora]]</f>
        <v>4.4166666666666634</v>
      </c>
      <c r="D107" s="92">
        <f>Table14[[#This Row],[Fecha]]</f>
        <v>45447.416666666417</v>
      </c>
      <c r="E107" s="53" t="e">
        <f>Table110[[#This Row],[Viento m/s]]</f>
        <v>#N/A</v>
      </c>
      <c r="F107" s="96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5" t="e">
        <f>VLOOKUP(Table14[[#This Row],[FECHA /HORA]],TBL_CalcDarwin[],44,0)</f>
        <v>#N/A</v>
      </c>
      <c r="I107" s="95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91">
        <f>Table110[[#This Row],[Fecha]]</f>
        <v>45447.458333333081</v>
      </c>
      <c r="C108" s="52">
        <f>Table110[[#This Row],[Hora]]</f>
        <v>4.4583333333333304</v>
      </c>
      <c r="D108" s="92">
        <f>Table14[[#This Row],[Fecha]]</f>
        <v>45447.458333333081</v>
      </c>
      <c r="E108" s="53" t="e">
        <f>Table110[[#This Row],[Viento m/s]]</f>
        <v>#N/A</v>
      </c>
      <c r="F108" s="96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5" t="e">
        <f>VLOOKUP(Table14[[#This Row],[FECHA /HORA]],TBL_CalcDarwin[],44,0)</f>
        <v>#N/A</v>
      </c>
      <c r="I108" s="95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91">
        <f>Table110[[#This Row],[Fecha]]</f>
        <v>45447.499999999745</v>
      </c>
      <c r="C109" s="52">
        <f>Table110[[#This Row],[Hora]]</f>
        <v>4.4999999999999973</v>
      </c>
      <c r="D109" s="92">
        <f>Table14[[#This Row],[Fecha]]</f>
        <v>45447.499999999745</v>
      </c>
      <c r="E109" s="53" t="e">
        <f>Table110[[#This Row],[Viento m/s]]</f>
        <v>#N/A</v>
      </c>
      <c r="F109" s="96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5" t="e">
        <f>VLOOKUP(Table14[[#This Row],[FECHA /HORA]],TBL_CalcDarwin[],44,0)</f>
        <v>#N/A</v>
      </c>
      <c r="I109" s="95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91">
        <f>Table110[[#This Row],[Fecha]]</f>
        <v>45447.54166666641</v>
      </c>
      <c r="C110" s="52">
        <f>Table110[[#This Row],[Hora]]</f>
        <v>4.5416666666666643</v>
      </c>
      <c r="D110" s="92">
        <f>Table14[[#This Row],[Fecha]]</f>
        <v>45447.54166666641</v>
      </c>
      <c r="E110" s="53" t="e">
        <f>Table110[[#This Row],[Viento m/s]]</f>
        <v>#N/A</v>
      </c>
      <c r="F110" s="96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5" t="e">
        <f>VLOOKUP(Table14[[#This Row],[FECHA /HORA]],TBL_CalcDarwin[],44,0)</f>
        <v>#N/A</v>
      </c>
      <c r="I110" s="95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91">
        <f>Table110[[#This Row],[Fecha]]</f>
        <v>45447.583333333074</v>
      </c>
      <c r="C111" s="52">
        <f>Table110[[#This Row],[Hora]]</f>
        <v>4.5833333333333313</v>
      </c>
      <c r="D111" s="92">
        <f>Table14[[#This Row],[Fecha]]</f>
        <v>45447.583333333074</v>
      </c>
      <c r="E111" s="53" t="e">
        <f>Table110[[#This Row],[Viento m/s]]</f>
        <v>#N/A</v>
      </c>
      <c r="F111" s="96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5" t="e">
        <f>VLOOKUP(Table14[[#This Row],[FECHA /HORA]],TBL_CalcDarwin[],44,0)</f>
        <v>#N/A</v>
      </c>
      <c r="I111" s="95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91">
        <f>Table110[[#This Row],[Fecha]]</f>
        <v>45447.624999999738</v>
      </c>
      <c r="C112" s="52">
        <f>Table110[[#This Row],[Hora]]</f>
        <v>4.6249999999999982</v>
      </c>
      <c r="D112" s="92">
        <f>Table14[[#This Row],[Fecha]]</f>
        <v>45447.624999999738</v>
      </c>
      <c r="E112" s="53" t="e">
        <f>Table110[[#This Row],[Viento m/s]]</f>
        <v>#N/A</v>
      </c>
      <c r="F112" s="96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5" t="e">
        <f>VLOOKUP(Table14[[#This Row],[FECHA /HORA]],TBL_CalcDarwin[],44,0)</f>
        <v>#N/A</v>
      </c>
      <c r="I112" s="95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91">
        <f>Table110[[#This Row],[Fecha]]</f>
        <v>45447.666666666402</v>
      </c>
      <c r="C113" s="52">
        <f>Table110[[#This Row],[Hora]]</f>
        <v>4.6666666666666652</v>
      </c>
      <c r="D113" s="92">
        <f>Table14[[#This Row],[Fecha]]</f>
        <v>45447.666666666402</v>
      </c>
      <c r="E113" s="53" t="e">
        <f>Table110[[#This Row],[Viento m/s]]</f>
        <v>#N/A</v>
      </c>
      <c r="F113" s="96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5" t="e">
        <f>VLOOKUP(Table14[[#This Row],[FECHA /HORA]],TBL_CalcDarwin[],44,0)</f>
        <v>#N/A</v>
      </c>
      <c r="I113" s="95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91">
        <f>Table110[[#This Row],[Fecha]]</f>
        <v>45447.708333333067</v>
      </c>
      <c r="C114" s="52">
        <f>Table110[[#This Row],[Hora]]</f>
        <v>4.7083333333333321</v>
      </c>
      <c r="D114" s="92">
        <f>Table14[[#This Row],[Fecha]]</f>
        <v>45447.708333333067</v>
      </c>
      <c r="E114" s="53" t="e">
        <f>Table110[[#This Row],[Viento m/s]]</f>
        <v>#N/A</v>
      </c>
      <c r="F114" s="96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5" t="e">
        <f>VLOOKUP(Table14[[#This Row],[FECHA /HORA]],TBL_CalcDarwin[],44,0)</f>
        <v>#N/A</v>
      </c>
      <c r="I114" s="95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91">
        <f>Table110[[#This Row],[Fecha]]</f>
        <v>45447.749999999731</v>
      </c>
      <c r="C115" s="52">
        <f>Table110[[#This Row],[Hora]]</f>
        <v>4.7499999999999991</v>
      </c>
      <c r="D115" s="92">
        <f>Table14[[#This Row],[Fecha]]</f>
        <v>45447.749999999731</v>
      </c>
      <c r="E115" s="53" t="e">
        <f>Table110[[#This Row],[Viento m/s]]</f>
        <v>#N/A</v>
      </c>
      <c r="F115" s="96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5" t="e">
        <f>VLOOKUP(Table14[[#This Row],[FECHA /HORA]],TBL_CalcDarwin[],44,0)</f>
        <v>#N/A</v>
      </c>
      <c r="I115" s="95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91">
        <f>Table110[[#This Row],[Fecha]]</f>
        <v>45447.791666666395</v>
      </c>
      <c r="C116" s="52">
        <f>Table110[[#This Row],[Hora]]</f>
        <v>4.7916666666666661</v>
      </c>
      <c r="D116" s="92">
        <f>Table14[[#This Row],[Fecha]]</f>
        <v>45447.791666666395</v>
      </c>
      <c r="E116" s="53" t="e">
        <f>Table110[[#This Row],[Viento m/s]]</f>
        <v>#N/A</v>
      </c>
      <c r="F116" s="96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5" t="e">
        <f>VLOOKUP(Table14[[#This Row],[FECHA /HORA]],TBL_CalcDarwin[],44,0)</f>
        <v>#N/A</v>
      </c>
      <c r="I116" s="95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91">
        <f>Table110[[#This Row],[Fecha]]</f>
        <v>45447.833333333059</v>
      </c>
      <c r="C117" s="52">
        <f>Table110[[#This Row],[Hora]]</f>
        <v>4.833333333333333</v>
      </c>
      <c r="D117" s="92">
        <f>Table14[[#This Row],[Fecha]]</f>
        <v>45447.833333333059</v>
      </c>
      <c r="E117" s="53" t="e">
        <f>Table110[[#This Row],[Viento m/s]]</f>
        <v>#N/A</v>
      </c>
      <c r="F117" s="96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5" t="e">
        <f>VLOOKUP(Table14[[#This Row],[FECHA /HORA]],TBL_CalcDarwin[],44,0)</f>
        <v>#N/A</v>
      </c>
      <c r="I117" s="95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91">
        <f>Table110[[#This Row],[Fecha]]</f>
        <v>45447.874999999724</v>
      </c>
      <c r="C118" s="52">
        <f>Table110[[#This Row],[Hora]]</f>
        <v>4.875</v>
      </c>
      <c r="D118" s="92">
        <f>Table14[[#This Row],[Fecha]]</f>
        <v>45447.874999999724</v>
      </c>
      <c r="E118" s="53" t="e">
        <f>Table110[[#This Row],[Viento m/s]]</f>
        <v>#N/A</v>
      </c>
      <c r="F118" s="96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5" t="e">
        <f>VLOOKUP(Table14[[#This Row],[FECHA /HORA]],TBL_CalcDarwin[],44,0)</f>
        <v>#N/A</v>
      </c>
      <c r="I118" s="95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91">
        <f>Table110[[#This Row],[Fecha]]</f>
        <v>45447.916666666388</v>
      </c>
      <c r="C119" s="52">
        <f>Table110[[#This Row],[Hora]]</f>
        <v>4.916666666666667</v>
      </c>
      <c r="D119" s="92">
        <f>Table14[[#This Row],[Fecha]]</f>
        <v>45447.916666666388</v>
      </c>
      <c r="E119" s="53" t="e">
        <f>Table110[[#This Row],[Viento m/s]]</f>
        <v>#N/A</v>
      </c>
      <c r="F119" s="96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5" t="e">
        <f>VLOOKUP(Table14[[#This Row],[FECHA /HORA]],TBL_CalcDarwin[],44,0)</f>
        <v>#N/A</v>
      </c>
      <c r="I119" s="95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91">
        <f>Table110[[#This Row],[Fecha]]</f>
        <v>45447.958333333052</v>
      </c>
      <c r="C120" s="52">
        <f>Table110[[#This Row],[Hora]]</f>
        <v>4.9583333333333339</v>
      </c>
      <c r="D120" s="92">
        <f>Table14[[#This Row],[Fecha]]</f>
        <v>45447.958333333052</v>
      </c>
      <c r="E120" s="53" t="e">
        <f>Table110[[#This Row],[Viento m/s]]</f>
        <v>#N/A</v>
      </c>
      <c r="F120" s="96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5" t="e">
        <f>VLOOKUP(Table14[[#This Row],[FECHA /HORA]],TBL_CalcDarwin[],44,0)</f>
        <v>#N/A</v>
      </c>
      <c r="I120" s="95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91">
        <f>Table110[[#This Row],[Fecha]]</f>
        <v>45447.999999999716</v>
      </c>
      <c r="C121" s="52">
        <f>Table110[[#This Row],[Hora]]</f>
        <v>5.0000000000000009</v>
      </c>
      <c r="D121" s="92">
        <f>Table14[[#This Row],[Fecha]]</f>
        <v>45447.999999999716</v>
      </c>
      <c r="E121" s="53" t="e">
        <f>Table110[[#This Row],[Viento m/s]]</f>
        <v>#N/A</v>
      </c>
      <c r="F121" s="96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5" t="e">
        <f>VLOOKUP(Table14[[#This Row],[FECHA /HORA]],TBL_CalcDarwin[],44,0)</f>
        <v>#N/A</v>
      </c>
      <c r="I121" s="95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91">
        <f>Table110[[#This Row],[Fecha]]</f>
        <v>45448.04166666638</v>
      </c>
      <c r="C122" s="52">
        <f>Table110[[#This Row],[Hora]]</f>
        <v>5.0416666666666679</v>
      </c>
      <c r="D122" s="92">
        <f>Table14[[#This Row],[Fecha]]</f>
        <v>45448.04166666638</v>
      </c>
      <c r="E122" s="53" t="e">
        <f>Table110[[#This Row],[Viento m/s]]</f>
        <v>#N/A</v>
      </c>
      <c r="F122" s="96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5" t="e">
        <f>VLOOKUP(Table14[[#This Row],[FECHA /HORA]],TBL_CalcDarwin[],44,0)</f>
        <v>#N/A</v>
      </c>
      <c r="I122" s="95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91">
        <f>Table110[[#This Row],[Fecha]]</f>
        <v>45448.083333333045</v>
      </c>
      <c r="C123" s="52">
        <f>Table110[[#This Row],[Hora]]</f>
        <v>5.0833333333333348</v>
      </c>
      <c r="D123" s="92">
        <f>Table14[[#This Row],[Fecha]]</f>
        <v>45448.083333333045</v>
      </c>
      <c r="E123" s="53" t="e">
        <f>Table110[[#This Row],[Viento m/s]]</f>
        <v>#N/A</v>
      </c>
      <c r="F123" s="96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5" t="e">
        <f>VLOOKUP(Table14[[#This Row],[FECHA /HORA]],TBL_CalcDarwin[],44,0)</f>
        <v>#N/A</v>
      </c>
      <c r="I123" s="95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91">
        <f>Table110[[#This Row],[Fecha]]</f>
        <v>45448.124999999709</v>
      </c>
      <c r="C124" s="52">
        <f>Table110[[#This Row],[Hora]]</f>
        <v>5.1250000000000018</v>
      </c>
      <c r="D124" s="92">
        <f>Table14[[#This Row],[Fecha]]</f>
        <v>45448.124999999709</v>
      </c>
      <c r="E124" s="53" t="e">
        <f>Table110[[#This Row],[Viento m/s]]</f>
        <v>#N/A</v>
      </c>
      <c r="F124" s="96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5" t="e">
        <f>VLOOKUP(Table14[[#This Row],[FECHA /HORA]],TBL_CalcDarwin[],44,0)</f>
        <v>#N/A</v>
      </c>
      <c r="I124" s="95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91">
        <f>Table110[[#This Row],[Fecha]]</f>
        <v>45448.166666666373</v>
      </c>
      <c r="C125" s="52">
        <f>Table110[[#This Row],[Hora]]</f>
        <v>5.1666666666666687</v>
      </c>
      <c r="D125" s="92">
        <f>Table14[[#This Row],[Fecha]]</f>
        <v>45448.166666666373</v>
      </c>
      <c r="E125" s="53" t="e">
        <f>Table110[[#This Row],[Viento m/s]]</f>
        <v>#N/A</v>
      </c>
      <c r="F125" s="96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5" t="e">
        <f>VLOOKUP(Table14[[#This Row],[FECHA /HORA]],TBL_CalcDarwin[],44,0)</f>
        <v>#N/A</v>
      </c>
      <c r="I125" s="95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91">
        <f>Table110[[#This Row],[Fecha]]</f>
        <v>45448.208333333037</v>
      </c>
      <c r="C126" s="52">
        <f>Table110[[#This Row],[Hora]]</f>
        <v>5.2083333333333357</v>
      </c>
      <c r="D126" s="92">
        <f>Table14[[#This Row],[Fecha]]</f>
        <v>45448.208333333037</v>
      </c>
      <c r="E126" s="53" t="e">
        <f>Table110[[#This Row],[Viento m/s]]</f>
        <v>#N/A</v>
      </c>
      <c r="F126" s="96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5" t="e">
        <f>VLOOKUP(Table14[[#This Row],[FECHA /HORA]],TBL_CalcDarwin[],44,0)</f>
        <v>#N/A</v>
      </c>
      <c r="I126" s="95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91">
        <f>Table110[[#This Row],[Fecha]]</f>
        <v>45448.249999999702</v>
      </c>
      <c r="C127" s="52">
        <f>Table110[[#This Row],[Hora]]</f>
        <v>5.2500000000000027</v>
      </c>
      <c r="D127" s="92">
        <f>Table14[[#This Row],[Fecha]]</f>
        <v>45448.249999999702</v>
      </c>
      <c r="E127" s="53" t="e">
        <f>Table110[[#This Row],[Viento m/s]]</f>
        <v>#N/A</v>
      </c>
      <c r="F127" s="96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5" t="e">
        <f>VLOOKUP(Table14[[#This Row],[FECHA /HORA]],TBL_CalcDarwin[],44,0)</f>
        <v>#N/A</v>
      </c>
      <c r="I127" s="95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91">
        <f>Table110[[#This Row],[Fecha]]</f>
        <v>45448.291666666366</v>
      </c>
      <c r="C128" s="52">
        <f>Table110[[#This Row],[Hora]]</f>
        <v>5.2916666666666696</v>
      </c>
      <c r="D128" s="92">
        <f>Table14[[#This Row],[Fecha]]</f>
        <v>45448.291666666366</v>
      </c>
      <c r="E128" s="53" t="e">
        <f>Table110[[#This Row],[Viento m/s]]</f>
        <v>#N/A</v>
      </c>
      <c r="F128" s="96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5" t="e">
        <f>VLOOKUP(Table14[[#This Row],[FECHA /HORA]],TBL_CalcDarwin[],44,0)</f>
        <v>#N/A</v>
      </c>
      <c r="I128" s="95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91">
        <f>Table110[[#This Row],[Fecha]]</f>
        <v>45448.33333333303</v>
      </c>
      <c r="C129" s="52">
        <f>Table110[[#This Row],[Hora]]</f>
        <v>5.3333333333333366</v>
      </c>
      <c r="D129" s="92">
        <f>Table14[[#This Row],[Fecha]]</f>
        <v>45448.33333333303</v>
      </c>
      <c r="E129" s="53" t="e">
        <f>Table110[[#This Row],[Viento m/s]]</f>
        <v>#N/A</v>
      </c>
      <c r="F129" s="96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5" t="e">
        <f>VLOOKUP(Table14[[#This Row],[FECHA /HORA]],TBL_CalcDarwin[],44,0)</f>
        <v>#N/A</v>
      </c>
      <c r="I129" s="95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91">
        <f>Table110[[#This Row],[Fecha]]</f>
        <v>45448.374999999694</v>
      </c>
      <c r="C130" s="52">
        <f>Table110[[#This Row],[Hora]]</f>
        <v>5.3750000000000036</v>
      </c>
      <c r="D130" s="92">
        <f>Table14[[#This Row],[Fecha]]</f>
        <v>45448.374999999694</v>
      </c>
      <c r="E130" s="53" t="e">
        <f>Table110[[#This Row],[Viento m/s]]</f>
        <v>#N/A</v>
      </c>
      <c r="F130" s="96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5" t="e">
        <f>VLOOKUP(Table14[[#This Row],[FECHA /HORA]],TBL_CalcDarwin[],44,0)</f>
        <v>#N/A</v>
      </c>
      <c r="I130" s="95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91">
        <f>Table110[[#This Row],[Fecha]]</f>
        <v>45448.416666666359</v>
      </c>
      <c r="C131" s="52">
        <f>Table110[[#This Row],[Hora]]</f>
        <v>5.4166666666666705</v>
      </c>
      <c r="D131" s="92">
        <f>Table14[[#This Row],[Fecha]]</f>
        <v>45448.416666666359</v>
      </c>
      <c r="E131" s="53" t="e">
        <f>Table110[[#This Row],[Viento m/s]]</f>
        <v>#N/A</v>
      </c>
      <c r="F131" s="96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5" t="e">
        <f>VLOOKUP(Table14[[#This Row],[FECHA /HORA]],TBL_CalcDarwin[],44,0)</f>
        <v>#N/A</v>
      </c>
      <c r="I131" s="95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91">
        <f>Table110[[#This Row],[Fecha]]</f>
        <v>45448.458333333023</v>
      </c>
      <c r="C132" s="52">
        <f>Table110[[#This Row],[Hora]]</f>
        <v>5.4583333333333375</v>
      </c>
      <c r="D132" s="92">
        <f>Table14[[#This Row],[Fecha]]</f>
        <v>45448.458333333023</v>
      </c>
      <c r="E132" s="53" t="e">
        <f>Table110[[#This Row],[Viento m/s]]</f>
        <v>#N/A</v>
      </c>
      <c r="F132" s="96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5" t="e">
        <f>VLOOKUP(Table14[[#This Row],[FECHA /HORA]],TBL_CalcDarwin[],44,0)</f>
        <v>#N/A</v>
      </c>
      <c r="I132" s="95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91">
        <f>Table110[[#This Row],[Fecha]]</f>
        <v>45448.499999999687</v>
      </c>
      <c r="C133" s="52">
        <f>Table110[[#This Row],[Hora]]</f>
        <v>5.5000000000000044</v>
      </c>
      <c r="D133" s="92">
        <f>Table14[[#This Row],[Fecha]]</f>
        <v>45448.499999999687</v>
      </c>
      <c r="E133" s="53" t="e">
        <f>Table110[[#This Row],[Viento m/s]]</f>
        <v>#N/A</v>
      </c>
      <c r="F133" s="96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5" t="e">
        <f>VLOOKUP(Table14[[#This Row],[FECHA /HORA]],TBL_CalcDarwin[],44,0)</f>
        <v>#N/A</v>
      </c>
      <c r="I133" s="95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91">
        <f>Table110[[#This Row],[Fecha]]</f>
        <v>45448.541666666351</v>
      </c>
      <c r="C134" s="52">
        <f>Table110[[#This Row],[Hora]]</f>
        <v>5.5416666666666714</v>
      </c>
      <c r="D134" s="92">
        <f>Table14[[#This Row],[Fecha]]</f>
        <v>45448.541666666351</v>
      </c>
      <c r="E134" s="53" t="e">
        <f>Table110[[#This Row],[Viento m/s]]</f>
        <v>#N/A</v>
      </c>
      <c r="F134" s="96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5" t="e">
        <f>VLOOKUP(Table14[[#This Row],[FECHA /HORA]],TBL_CalcDarwin[],44,0)</f>
        <v>#N/A</v>
      </c>
      <c r="I134" s="95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91">
        <f>Table110[[#This Row],[Fecha]]</f>
        <v>45448.583333333016</v>
      </c>
      <c r="C135" s="52">
        <f>Table110[[#This Row],[Hora]]</f>
        <v>5.5833333333333384</v>
      </c>
      <c r="D135" s="92">
        <f>Table14[[#This Row],[Fecha]]</f>
        <v>45448.583333333016</v>
      </c>
      <c r="E135" s="53" t="e">
        <f>Table110[[#This Row],[Viento m/s]]</f>
        <v>#N/A</v>
      </c>
      <c r="F135" s="96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5" t="e">
        <f>VLOOKUP(Table14[[#This Row],[FECHA /HORA]],TBL_CalcDarwin[],44,0)</f>
        <v>#N/A</v>
      </c>
      <c r="I135" s="95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91">
        <f>Table110[[#This Row],[Fecha]]</f>
        <v>45448.62499999968</v>
      </c>
      <c r="C136" s="52">
        <f>Table110[[#This Row],[Hora]]</f>
        <v>5.6250000000000053</v>
      </c>
      <c r="D136" s="92">
        <f>Table14[[#This Row],[Fecha]]</f>
        <v>45448.62499999968</v>
      </c>
      <c r="E136" s="53" t="e">
        <f>Table110[[#This Row],[Viento m/s]]</f>
        <v>#N/A</v>
      </c>
      <c r="F136" s="96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5" t="e">
        <f>VLOOKUP(Table14[[#This Row],[FECHA /HORA]],TBL_CalcDarwin[],44,0)</f>
        <v>#N/A</v>
      </c>
      <c r="I136" s="95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91">
        <f>Table110[[#This Row],[Fecha]]</f>
        <v>45448.666666666344</v>
      </c>
      <c r="C137" s="52">
        <f>Table110[[#This Row],[Hora]]</f>
        <v>5.6666666666666723</v>
      </c>
      <c r="D137" s="92">
        <f>Table14[[#This Row],[Fecha]]</f>
        <v>45448.666666666344</v>
      </c>
      <c r="E137" s="53" t="e">
        <f>Table110[[#This Row],[Viento m/s]]</f>
        <v>#N/A</v>
      </c>
      <c r="F137" s="96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5" t="e">
        <f>VLOOKUP(Table14[[#This Row],[FECHA /HORA]],TBL_CalcDarwin[],44,0)</f>
        <v>#N/A</v>
      </c>
      <c r="I137" s="95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91">
        <f>Table110[[#This Row],[Fecha]]</f>
        <v>45448.708333333008</v>
      </c>
      <c r="C138" s="52">
        <f>Table110[[#This Row],[Hora]]</f>
        <v>5.7083333333333393</v>
      </c>
      <c r="D138" s="92">
        <f>Table14[[#This Row],[Fecha]]</f>
        <v>45448.708333333008</v>
      </c>
      <c r="E138" s="53" t="e">
        <f>Table110[[#This Row],[Viento m/s]]</f>
        <v>#N/A</v>
      </c>
      <c r="F138" s="96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5" t="e">
        <f>VLOOKUP(Table14[[#This Row],[FECHA /HORA]],TBL_CalcDarwin[],44,0)</f>
        <v>#N/A</v>
      </c>
      <c r="I138" s="95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91">
        <f>Table110[[#This Row],[Fecha]]</f>
        <v>45448.749999999673</v>
      </c>
      <c r="C139" s="52">
        <f>Table110[[#This Row],[Hora]]</f>
        <v>5.7500000000000062</v>
      </c>
      <c r="D139" s="92">
        <f>Table14[[#This Row],[Fecha]]</f>
        <v>45448.749999999673</v>
      </c>
      <c r="E139" s="53" t="e">
        <f>Table110[[#This Row],[Viento m/s]]</f>
        <v>#N/A</v>
      </c>
      <c r="F139" s="96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5" t="e">
        <f>VLOOKUP(Table14[[#This Row],[FECHA /HORA]],TBL_CalcDarwin[],44,0)</f>
        <v>#N/A</v>
      </c>
      <c r="I139" s="95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91">
        <f>Table110[[#This Row],[Fecha]]</f>
        <v>45448.791666666337</v>
      </c>
      <c r="C140" s="52">
        <f>Table110[[#This Row],[Hora]]</f>
        <v>5.7916666666666732</v>
      </c>
      <c r="D140" s="92">
        <f>Table14[[#This Row],[Fecha]]</f>
        <v>45448.791666666337</v>
      </c>
      <c r="E140" s="53" t="e">
        <f>Table110[[#This Row],[Viento m/s]]</f>
        <v>#N/A</v>
      </c>
      <c r="F140" s="96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5" t="e">
        <f>VLOOKUP(Table14[[#This Row],[FECHA /HORA]],TBL_CalcDarwin[],44,0)</f>
        <v>#N/A</v>
      </c>
      <c r="I140" s="95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91">
        <f>Table110[[#This Row],[Fecha]]</f>
        <v>45448.833333333001</v>
      </c>
      <c r="C141" s="52">
        <f>Table110[[#This Row],[Hora]]</f>
        <v>5.8333333333333401</v>
      </c>
      <c r="D141" s="92">
        <f>Table14[[#This Row],[Fecha]]</f>
        <v>45448.833333333001</v>
      </c>
      <c r="E141" s="53" t="e">
        <f>Table110[[#This Row],[Viento m/s]]</f>
        <v>#N/A</v>
      </c>
      <c r="F141" s="96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5" t="e">
        <f>VLOOKUP(Table14[[#This Row],[FECHA /HORA]],TBL_CalcDarwin[],44,0)</f>
        <v>#N/A</v>
      </c>
      <c r="I141" s="95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91">
        <f>Table110[[#This Row],[Fecha]]</f>
        <v>45448.874999999665</v>
      </c>
      <c r="C142" s="52">
        <f>Table110[[#This Row],[Hora]]</f>
        <v>5.8750000000000071</v>
      </c>
      <c r="D142" s="92">
        <f>Table14[[#This Row],[Fecha]]</f>
        <v>45448.874999999665</v>
      </c>
      <c r="E142" s="53" t="e">
        <f>Table110[[#This Row],[Viento m/s]]</f>
        <v>#N/A</v>
      </c>
      <c r="F142" s="96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5" t="e">
        <f>VLOOKUP(Table14[[#This Row],[FECHA /HORA]],TBL_CalcDarwin[],44,0)</f>
        <v>#N/A</v>
      </c>
      <c r="I142" s="95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91">
        <f>Table110[[#This Row],[Fecha]]</f>
        <v>45448.91666666633</v>
      </c>
      <c r="C143" s="52">
        <f>Table110[[#This Row],[Hora]]</f>
        <v>5.9166666666666741</v>
      </c>
      <c r="D143" s="92">
        <f>Table14[[#This Row],[Fecha]]</f>
        <v>45448.91666666633</v>
      </c>
      <c r="E143" s="53" t="e">
        <f>Table110[[#This Row],[Viento m/s]]</f>
        <v>#N/A</v>
      </c>
      <c r="F143" s="96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5" t="e">
        <f>VLOOKUP(Table14[[#This Row],[FECHA /HORA]],TBL_CalcDarwin[],44,0)</f>
        <v>#N/A</v>
      </c>
      <c r="I143" s="95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91">
        <f>Table110[[#This Row],[Fecha]]</f>
        <v>45448.958333332994</v>
      </c>
      <c r="C144" s="52">
        <f>Table110[[#This Row],[Hora]]</f>
        <v>5.958333333333341</v>
      </c>
      <c r="D144" s="92">
        <f>Table14[[#This Row],[Fecha]]</f>
        <v>45448.958333332994</v>
      </c>
      <c r="E144" s="53" t="e">
        <f>Table110[[#This Row],[Viento m/s]]</f>
        <v>#N/A</v>
      </c>
      <c r="F144" s="96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5" t="e">
        <f>VLOOKUP(Table14[[#This Row],[FECHA /HORA]],TBL_CalcDarwin[],44,0)</f>
        <v>#N/A</v>
      </c>
      <c r="I144" s="95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91">
        <f>Table110[[#This Row],[Fecha]]</f>
        <v>45448.999999999658</v>
      </c>
      <c r="C145" s="52">
        <f>Table110[[#This Row],[Hora]]</f>
        <v>6.000000000000008</v>
      </c>
      <c r="D145" s="92">
        <f>Table14[[#This Row],[Fecha]]</f>
        <v>45448.999999999658</v>
      </c>
      <c r="E145" s="53" t="e">
        <f>Table110[[#This Row],[Viento m/s]]</f>
        <v>#N/A</v>
      </c>
      <c r="F145" s="96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5" t="e">
        <f>VLOOKUP(Table14[[#This Row],[FECHA /HORA]],TBL_CalcDarwin[],44,0)</f>
        <v>#N/A</v>
      </c>
      <c r="I145" s="95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91">
        <f>Table110[[#This Row],[Fecha]]</f>
        <v>45449.041666666322</v>
      </c>
      <c r="C146" s="52">
        <f>Table110[[#This Row],[Hora]]</f>
        <v>6.041666666666675</v>
      </c>
      <c r="D146" s="92">
        <f>Table14[[#This Row],[Fecha]]</f>
        <v>45449.041666666322</v>
      </c>
      <c r="E146" s="53" t="e">
        <f>Table110[[#This Row],[Viento m/s]]</f>
        <v>#N/A</v>
      </c>
      <c r="F146" s="97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5" t="e">
        <f>VLOOKUP(Table14[[#This Row],[FECHA /HORA]],TBL_CalcDarwin[],44,0)</f>
        <v>#N/A</v>
      </c>
      <c r="I146" s="95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91">
        <f>Table110[[#This Row],[Fecha]]</f>
        <v>45449.083333332987</v>
      </c>
      <c r="C147" s="52">
        <f>Table110[[#This Row],[Hora]]</f>
        <v>6.0833333333333419</v>
      </c>
      <c r="D147" s="92">
        <f>Table14[[#This Row],[Fecha]]</f>
        <v>45449.083333332987</v>
      </c>
      <c r="E147" s="53" t="e">
        <f>Table110[[#This Row],[Viento m/s]]</f>
        <v>#N/A</v>
      </c>
      <c r="F147" s="96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5" t="e">
        <f>VLOOKUP(Table14[[#This Row],[FECHA /HORA]],TBL_CalcDarwin[],44,0)</f>
        <v>#N/A</v>
      </c>
      <c r="I147" s="95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91">
        <f>Table110[[#This Row],[Fecha]]</f>
        <v>45449.124999999651</v>
      </c>
      <c r="C148" s="52">
        <f>Table110[[#This Row],[Hora]]</f>
        <v>6.1250000000000089</v>
      </c>
      <c r="D148" s="92">
        <f>Table14[[#This Row],[Fecha]]</f>
        <v>45449.124999999651</v>
      </c>
      <c r="E148" s="53" t="e">
        <f>Table110[[#This Row],[Viento m/s]]</f>
        <v>#N/A</v>
      </c>
      <c r="F148" s="96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5" t="e">
        <f>VLOOKUP(Table14[[#This Row],[FECHA /HORA]],TBL_CalcDarwin[],44,0)</f>
        <v>#N/A</v>
      </c>
      <c r="I148" s="95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91">
        <f>Table110[[#This Row],[Fecha]]</f>
        <v>45449.166666666315</v>
      </c>
      <c r="C149" s="52">
        <f>Table110[[#This Row],[Hora]]</f>
        <v>6.1666666666666758</v>
      </c>
      <c r="D149" s="92">
        <f>Table14[[#This Row],[Fecha]]</f>
        <v>45449.166666666315</v>
      </c>
      <c r="E149" s="53" t="e">
        <f>Table110[[#This Row],[Viento m/s]]</f>
        <v>#N/A</v>
      </c>
      <c r="F149" s="96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5" t="e">
        <f>VLOOKUP(Table14[[#This Row],[FECHA /HORA]],TBL_CalcDarwin[],44,0)</f>
        <v>#N/A</v>
      </c>
      <c r="I149" s="95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91">
        <f>Table110[[#This Row],[Fecha]]</f>
        <v>45449.208333332979</v>
      </c>
      <c r="C150" s="52">
        <f>Table110[[#This Row],[Hora]]</f>
        <v>6.2083333333333428</v>
      </c>
      <c r="D150" s="92">
        <f>Table14[[#This Row],[Fecha]]</f>
        <v>45449.208333332979</v>
      </c>
      <c r="E150" s="53" t="e">
        <f>Table110[[#This Row],[Viento m/s]]</f>
        <v>#N/A</v>
      </c>
      <c r="F150" s="96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5" t="e">
        <f>VLOOKUP(Table14[[#This Row],[FECHA /HORA]],TBL_CalcDarwin[],44,0)</f>
        <v>#N/A</v>
      </c>
      <c r="I150" s="95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91">
        <f>Table110[[#This Row],[Fecha]]</f>
        <v>45449.249999999643</v>
      </c>
      <c r="C151" s="52">
        <f>Table110[[#This Row],[Hora]]</f>
        <v>6.2500000000000098</v>
      </c>
      <c r="D151" s="92">
        <f>Table14[[#This Row],[Fecha]]</f>
        <v>45449.249999999643</v>
      </c>
      <c r="E151" s="53" t="e">
        <f>Table110[[#This Row],[Viento m/s]]</f>
        <v>#N/A</v>
      </c>
      <c r="F151" s="96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5" t="e">
        <f>VLOOKUP(Table14[[#This Row],[FECHA /HORA]],TBL_CalcDarwin[],44,0)</f>
        <v>#N/A</v>
      </c>
      <c r="I151" s="95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91">
        <f>Table110[[#This Row],[Fecha]]</f>
        <v>45449.291666666308</v>
      </c>
      <c r="C152" s="52">
        <f>Table110[[#This Row],[Hora]]</f>
        <v>6.2916666666666767</v>
      </c>
      <c r="D152" s="92">
        <f>Table14[[#This Row],[Fecha]]</f>
        <v>45449.291666666308</v>
      </c>
      <c r="E152" s="53" t="e">
        <f>Table110[[#This Row],[Viento m/s]]</f>
        <v>#N/A</v>
      </c>
      <c r="F152" s="96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5" t="e">
        <f>VLOOKUP(Table14[[#This Row],[FECHA /HORA]],TBL_CalcDarwin[],44,0)</f>
        <v>#N/A</v>
      </c>
      <c r="I152" s="95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91">
        <f>Table110[[#This Row],[Fecha]]</f>
        <v>45449.333333332972</v>
      </c>
      <c r="C153" s="52">
        <f>Table110[[#This Row],[Hora]]</f>
        <v>6.3333333333333437</v>
      </c>
      <c r="D153" s="92">
        <f>Table14[[#This Row],[Fecha]]</f>
        <v>45449.333333332972</v>
      </c>
      <c r="E153" s="53" t="e">
        <f>Table110[[#This Row],[Viento m/s]]</f>
        <v>#N/A</v>
      </c>
      <c r="F153" s="96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5" t="e">
        <f>VLOOKUP(Table14[[#This Row],[FECHA /HORA]],TBL_CalcDarwin[],44,0)</f>
        <v>#N/A</v>
      </c>
      <c r="I153" s="95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91">
        <f>Table110[[#This Row],[Fecha]]</f>
        <v>45449.374999999636</v>
      </c>
      <c r="C154" s="52">
        <f>Table110[[#This Row],[Hora]]</f>
        <v>6.3750000000000107</v>
      </c>
      <c r="D154" s="92">
        <f>Table14[[#This Row],[Fecha]]</f>
        <v>45449.374999999636</v>
      </c>
      <c r="E154" s="53" t="e">
        <f>Table110[[#This Row],[Viento m/s]]</f>
        <v>#N/A</v>
      </c>
      <c r="F154" s="96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5" t="e">
        <f>VLOOKUP(Table14[[#This Row],[FECHA /HORA]],TBL_CalcDarwin[],44,0)</f>
        <v>#N/A</v>
      </c>
      <c r="I154" s="95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91">
        <f>Table110[[#This Row],[Fecha]]</f>
        <v>45449.4166666663</v>
      </c>
      <c r="C155" s="52">
        <f>Table110[[#This Row],[Hora]]</f>
        <v>6.4166666666666776</v>
      </c>
      <c r="D155" s="92">
        <f>Table14[[#This Row],[Fecha]]</f>
        <v>45449.4166666663</v>
      </c>
      <c r="E155" s="53" t="e">
        <f>Table110[[#This Row],[Viento m/s]]</f>
        <v>#N/A</v>
      </c>
      <c r="F155" s="96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5" t="e">
        <f>VLOOKUP(Table14[[#This Row],[FECHA /HORA]],TBL_CalcDarwin[],44,0)</f>
        <v>#N/A</v>
      </c>
      <c r="I155" s="95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91">
        <f>Table110[[#This Row],[Fecha]]</f>
        <v>45449.458333332965</v>
      </c>
      <c r="C156" s="52">
        <f>Table110[[#This Row],[Hora]]</f>
        <v>6.4583333333333446</v>
      </c>
      <c r="D156" s="92">
        <f>Table14[[#This Row],[Fecha]]</f>
        <v>45449.458333332965</v>
      </c>
      <c r="E156" s="53" t="e">
        <f>Table110[[#This Row],[Viento m/s]]</f>
        <v>#N/A</v>
      </c>
      <c r="F156" s="96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5" t="e">
        <f>VLOOKUP(Table14[[#This Row],[FECHA /HORA]],TBL_CalcDarwin[],44,0)</f>
        <v>#N/A</v>
      </c>
      <c r="I156" s="95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91">
        <f>Table110[[#This Row],[Fecha]]</f>
        <v>45449.499999999629</v>
      </c>
      <c r="C157" s="52">
        <f>Table110[[#This Row],[Hora]]</f>
        <v>6.5000000000000115</v>
      </c>
      <c r="D157" s="92">
        <f>Table14[[#This Row],[Fecha]]</f>
        <v>45449.499999999629</v>
      </c>
      <c r="E157" s="53" t="e">
        <f>Table110[[#This Row],[Viento m/s]]</f>
        <v>#N/A</v>
      </c>
      <c r="F157" s="96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5" t="e">
        <f>VLOOKUP(Table14[[#This Row],[FECHA /HORA]],TBL_CalcDarwin[],44,0)</f>
        <v>#N/A</v>
      </c>
      <c r="I157" s="95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91">
        <f>Table110[[#This Row],[Fecha]]</f>
        <v>45449.541666666293</v>
      </c>
      <c r="C158" s="52">
        <f>Table110[[#This Row],[Hora]]</f>
        <v>6.5416666666666785</v>
      </c>
      <c r="D158" s="92">
        <f>Table14[[#This Row],[Fecha]]</f>
        <v>45449.541666666293</v>
      </c>
      <c r="E158" s="53" t="e">
        <f>Table110[[#This Row],[Viento m/s]]</f>
        <v>#N/A</v>
      </c>
      <c r="F158" s="96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5" t="e">
        <f>VLOOKUP(Table14[[#This Row],[FECHA /HORA]],TBL_CalcDarwin[],44,0)</f>
        <v>#N/A</v>
      </c>
      <c r="I158" s="95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91">
        <f>Table110[[#This Row],[Fecha]]</f>
        <v>45449.583333332957</v>
      </c>
      <c r="C159" s="52">
        <f>Table110[[#This Row],[Hora]]</f>
        <v>6.5833333333333455</v>
      </c>
      <c r="D159" s="92">
        <f>Table14[[#This Row],[Fecha]]</f>
        <v>45449.583333332957</v>
      </c>
      <c r="E159" s="53" t="e">
        <f>Table110[[#This Row],[Viento m/s]]</f>
        <v>#N/A</v>
      </c>
      <c r="F159" s="96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5" t="e">
        <f>VLOOKUP(Table14[[#This Row],[FECHA /HORA]],TBL_CalcDarwin[],44,0)</f>
        <v>#N/A</v>
      </c>
      <c r="I159" s="95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91">
        <f>Table110[[#This Row],[Fecha]]</f>
        <v>45449.624999999622</v>
      </c>
      <c r="C160" s="52">
        <f>Table110[[#This Row],[Hora]]</f>
        <v>6.6250000000000124</v>
      </c>
      <c r="D160" s="92">
        <f>Table14[[#This Row],[Fecha]]</f>
        <v>45449.624999999622</v>
      </c>
      <c r="E160" s="53" t="e">
        <f>Table110[[#This Row],[Viento m/s]]</f>
        <v>#N/A</v>
      </c>
      <c r="F160" s="96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5" t="e">
        <f>VLOOKUP(Table14[[#This Row],[FECHA /HORA]],TBL_CalcDarwin[],44,0)</f>
        <v>#N/A</v>
      </c>
      <c r="I160" s="95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91">
        <f>Table110[[#This Row],[Fecha]]</f>
        <v>45449.666666666286</v>
      </c>
      <c r="C161" s="52">
        <f>Table110[[#This Row],[Hora]]</f>
        <v>6.6666666666666794</v>
      </c>
      <c r="D161" s="92">
        <f>Table14[[#This Row],[Fecha]]</f>
        <v>45449.666666666286</v>
      </c>
      <c r="E161" s="53" t="e">
        <f>Table110[[#This Row],[Viento m/s]]</f>
        <v>#N/A</v>
      </c>
      <c r="F161" s="96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5" t="e">
        <f>VLOOKUP(Table14[[#This Row],[FECHA /HORA]],TBL_CalcDarwin[],44,0)</f>
        <v>#N/A</v>
      </c>
      <c r="I161" s="95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91">
        <f>Table110[[#This Row],[Fecha]]</f>
        <v>45449.70833333295</v>
      </c>
      <c r="C162" s="52">
        <f>Table110[[#This Row],[Hora]]</f>
        <v>6.7083333333333464</v>
      </c>
      <c r="D162" s="92">
        <f>Table14[[#This Row],[Fecha]]</f>
        <v>45449.70833333295</v>
      </c>
      <c r="E162" s="53" t="e">
        <f>Table110[[#This Row],[Viento m/s]]</f>
        <v>#N/A</v>
      </c>
      <c r="F162" s="96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5" t="e">
        <f>VLOOKUP(Table14[[#This Row],[FECHA /HORA]],TBL_CalcDarwin[],44,0)</f>
        <v>#N/A</v>
      </c>
      <c r="I162" s="95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91">
        <f>Table110[[#This Row],[Fecha]]</f>
        <v>45449.749999999614</v>
      </c>
      <c r="C163" s="52">
        <f>Table110[[#This Row],[Hora]]</f>
        <v>6.7500000000000133</v>
      </c>
      <c r="D163" s="92">
        <f>Table14[[#This Row],[Fecha]]</f>
        <v>45449.749999999614</v>
      </c>
      <c r="E163" s="53" t="e">
        <f>Table110[[#This Row],[Viento m/s]]</f>
        <v>#N/A</v>
      </c>
      <c r="F163" s="96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5" t="e">
        <f>VLOOKUP(Table14[[#This Row],[FECHA /HORA]],TBL_CalcDarwin[],44,0)</f>
        <v>#N/A</v>
      </c>
      <c r="I163" s="95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91">
        <f>Table110[[#This Row],[Fecha]]</f>
        <v>45449.791666666279</v>
      </c>
      <c r="C164" s="52">
        <f>Table110[[#This Row],[Hora]]</f>
        <v>6.7916666666666803</v>
      </c>
      <c r="D164" s="92">
        <f>Table14[[#This Row],[Fecha]]</f>
        <v>45449.791666666279</v>
      </c>
      <c r="E164" s="53" t="e">
        <f>Table110[[#This Row],[Viento m/s]]</f>
        <v>#N/A</v>
      </c>
      <c r="F164" s="96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5" t="e">
        <f>VLOOKUP(Table14[[#This Row],[FECHA /HORA]],TBL_CalcDarwin[],44,0)</f>
        <v>#N/A</v>
      </c>
      <c r="I164" s="95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91">
        <f>Table110[[#This Row],[Fecha]]</f>
        <v>45449.833333332943</v>
      </c>
      <c r="C165" s="52">
        <f>Table110[[#This Row],[Hora]]</f>
        <v>6.8333333333333472</v>
      </c>
      <c r="D165" s="92">
        <f>Table14[[#This Row],[Fecha]]</f>
        <v>45449.833333332943</v>
      </c>
      <c r="E165" s="53" t="e">
        <f>Table110[[#This Row],[Viento m/s]]</f>
        <v>#N/A</v>
      </c>
      <c r="F165" s="96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5" t="e">
        <f>VLOOKUP(Table14[[#This Row],[FECHA /HORA]],TBL_CalcDarwin[],44,0)</f>
        <v>#N/A</v>
      </c>
      <c r="I165" s="95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91">
        <f>Table110[[#This Row],[Fecha]]</f>
        <v>45449.874999999607</v>
      </c>
      <c r="C166" s="52">
        <f>Table110[[#This Row],[Hora]]</f>
        <v>6.8750000000000142</v>
      </c>
      <c r="D166" s="92">
        <f>Table14[[#This Row],[Fecha]]</f>
        <v>45449.874999999607</v>
      </c>
      <c r="E166" s="53" t="e">
        <f>Table110[[#This Row],[Viento m/s]]</f>
        <v>#N/A</v>
      </c>
      <c r="F166" s="96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5" t="e">
        <f>VLOOKUP(Table14[[#This Row],[FECHA /HORA]],TBL_CalcDarwin[],44,0)</f>
        <v>#N/A</v>
      </c>
      <c r="I166" s="95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91">
        <f>Table110[[#This Row],[Fecha]]</f>
        <v>45449.916666666271</v>
      </c>
      <c r="C167" s="52">
        <f>Table110[[#This Row],[Hora]]</f>
        <v>6.9166666666666812</v>
      </c>
      <c r="D167" s="92">
        <f>Table14[[#This Row],[Fecha]]</f>
        <v>45449.916666666271</v>
      </c>
      <c r="E167" s="53" t="e">
        <f>Table110[[#This Row],[Viento m/s]]</f>
        <v>#N/A</v>
      </c>
      <c r="F167" s="96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5" t="e">
        <f>VLOOKUP(Table14[[#This Row],[FECHA /HORA]],TBL_CalcDarwin[],44,0)</f>
        <v>#N/A</v>
      </c>
      <c r="I167" s="95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91">
        <f>Table110[[#This Row],[Fecha]]</f>
        <v>45449.958333332936</v>
      </c>
      <c r="C168" s="52">
        <f>Table110[[#This Row],[Hora]]</f>
        <v>6.9583333333333481</v>
      </c>
      <c r="D168" s="92">
        <f>Table14[[#This Row],[Fecha]]</f>
        <v>45449.958333332936</v>
      </c>
      <c r="E168" s="53" t="e">
        <f>Table110[[#This Row],[Viento m/s]]</f>
        <v>#N/A</v>
      </c>
      <c r="F168" s="96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5" t="e">
        <f>VLOOKUP(Table14[[#This Row],[FECHA /HORA]],TBL_CalcDarwin[],44,0)</f>
        <v>#N/A</v>
      </c>
      <c r="I168" s="95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91">
        <f>Table110[[#This Row],[Fecha]]</f>
        <v>45449.9999999996</v>
      </c>
      <c r="C169" s="52">
        <f>Table110[[#This Row],[Hora]]</f>
        <v>7.0000000000000151</v>
      </c>
      <c r="D169" s="92">
        <f>Table14[[#This Row],[Fecha]]</f>
        <v>45449.9999999996</v>
      </c>
      <c r="E169" s="53" t="e">
        <f>Table110[[#This Row],[Viento m/s]]</f>
        <v>#N/A</v>
      </c>
      <c r="F169" s="96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5" t="e">
        <f>VLOOKUP(Table14[[#This Row],[FECHA /HORA]],TBL_CalcDarwin[],44,0)</f>
        <v>#N/A</v>
      </c>
      <c r="I169" s="95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91">
        <f>Table110[[#This Row],[Fecha]]</f>
        <v>45450.041666666264</v>
      </c>
      <c r="C170" s="52">
        <f>Table110[[#This Row],[Hora]]</f>
        <v>7.0416666666666821</v>
      </c>
      <c r="D170" s="92">
        <f>Table14[[#This Row],[Fecha]]</f>
        <v>45450.041666666264</v>
      </c>
      <c r="E170" s="53" t="e">
        <f>Table110[[#This Row],[Viento m/s]]</f>
        <v>#N/A</v>
      </c>
      <c r="F170" s="96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5" t="e">
        <f>VLOOKUP(Table14[[#This Row],[FECHA /HORA]],TBL_CalcDarwin[],44,0)</f>
        <v>#N/A</v>
      </c>
      <c r="I170" s="95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91">
        <f>Table110[[#This Row],[Fecha]]</f>
        <v>45450.083333332928</v>
      </c>
      <c r="C171" s="52">
        <f>Table110[[#This Row],[Hora]]</f>
        <v>7.083333333333349</v>
      </c>
      <c r="D171" s="92">
        <f>Table14[[#This Row],[Fecha]]</f>
        <v>45450.083333332928</v>
      </c>
      <c r="E171" s="53" t="e">
        <f>Table110[[#This Row],[Viento m/s]]</f>
        <v>#N/A</v>
      </c>
      <c r="F171" s="96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5" t="e">
        <f>VLOOKUP(Table14[[#This Row],[FECHA /HORA]],TBL_CalcDarwin[],44,0)</f>
        <v>#N/A</v>
      </c>
      <c r="I171" s="95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91">
        <f>Table110[[#This Row],[Fecha]]</f>
        <v>45450.124999999593</v>
      </c>
      <c r="C172" s="52">
        <f>Table110[[#This Row],[Hora]]</f>
        <v>7.125000000000016</v>
      </c>
      <c r="D172" s="92">
        <f>Table14[[#This Row],[Fecha]]</f>
        <v>45450.124999999593</v>
      </c>
      <c r="E172" s="53" t="e">
        <f>Table110[[#This Row],[Viento m/s]]</f>
        <v>#N/A</v>
      </c>
      <c r="F172" s="96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5" t="e">
        <f>VLOOKUP(Table14[[#This Row],[FECHA /HORA]],TBL_CalcDarwin[],44,0)</f>
        <v>#N/A</v>
      </c>
      <c r="I172" s="95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91">
        <f>Table110[[#This Row],[Fecha]]</f>
        <v>45450.166666666257</v>
      </c>
      <c r="C173" s="52">
        <f>Table110[[#This Row],[Hora]]</f>
        <v>7.1666666666666829</v>
      </c>
      <c r="D173" s="92">
        <f>Table14[[#This Row],[Fecha]]</f>
        <v>45450.166666666257</v>
      </c>
      <c r="E173" s="53" t="e">
        <f>Table110[[#This Row],[Viento m/s]]</f>
        <v>#N/A</v>
      </c>
      <c r="F173" s="96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5" t="e">
        <f>VLOOKUP(Table14[[#This Row],[FECHA /HORA]],TBL_CalcDarwin[],44,0)</f>
        <v>#N/A</v>
      </c>
      <c r="I173" s="95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91">
        <f>Table110[[#This Row],[Fecha]]</f>
        <v>45450.208333332921</v>
      </c>
      <c r="C174" s="52">
        <f>Table110[[#This Row],[Hora]]</f>
        <v>7.2083333333333499</v>
      </c>
      <c r="D174" s="92">
        <f>Table14[[#This Row],[Fecha]]</f>
        <v>45450.208333332921</v>
      </c>
      <c r="E174" s="53" t="e">
        <f>Table110[[#This Row],[Viento m/s]]</f>
        <v>#N/A</v>
      </c>
      <c r="F174" s="96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5" t="e">
        <f>VLOOKUP(Table14[[#This Row],[FECHA /HORA]],TBL_CalcDarwin[],44,0)</f>
        <v>#N/A</v>
      </c>
      <c r="I174" s="95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91">
        <f>Table110[[#This Row],[Fecha]]</f>
        <v>45450.249999999585</v>
      </c>
      <c r="C175" s="52">
        <f>Table110[[#This Row],[Hora]]</f>
        <v>7.2500000000000169</v>
      </c>
      <c r="D175" s="92">
        <f>Table14[[#This Row],[Fecha]]</f>
        <v>45450.249999999585</v>
      </c>
      <c r="E175" s="53" t="e">
        <f>Table110[[#This Row],[Viento m/s]]</f>
        <v>#N/A</v>
      </c>
      <c r="F175" s="96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5" t="e">
        <f>VLOOKUP(Table14[[#This Row],[FECHA /HORA]],TBL_CalcDarwin[],44,0)</f>
        <v>#N/A</v>
      </c>
      <c r="I175" s="95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91">
        <f>Table110[[#This Row],[Fecha]]</f>
        <v>45450.29166666625</v>
      </c>
      <c r="C176" s="52">
        <f>Table110[[#This Row],[Hora]]</f>
        <v>7.2916666666666838</v>
      </c>
      <c r="D176" s="92">
        <f>Table14[[#This Row],[Fecha]]</f>
        <v>45450.29166666625</v>
      </c>
      <c r="E176" s="53" t="e">
        <f>Table110[[#This Row],[Viento m/s]]</f>
        <v>#N/A</v>
      </c>
      <c r="F176" s="96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5" t="e">
        <f>VLOOKUP(Table14[[#This Row],[FECHA /HORA]],TBL_CalcDarwin[],44,0)</f>
        <v>#N/A</v>
      </c>
      <c r="I176" s="95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91">
        <f>Table110[[#This Row],[Fecha]]</f>
        <v>45450.333333332914</v>
      </c>
      <c r="C177" s="52">
        <f>Table110[[#This Row],[Hora]]</f>
        <v>7.3333333333333508</v>
      </c>
      <c r="D177" s="92">
        <f>Table14[[#This Row],[Fecha]]</f>
        <v>45450.333333332914</v>
      </c>
      <c r="E177" s="53" t="e">
        <f>Table110[[#This Row],[Viento m/s]]</f>
        <v>#N/A</v>
      </c>
      <c r="F177" s="96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5" t="e">
        <f>VLOOKUP(Table14[[#This Row],[FECHA /HORA]],TBL_CalcDarwin[],44,0)</f>
        <v>#N/A</v>
      </c>
      <c r="I177" s="95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91">
        <f>Table110[[#This Row],[Fecha]]</f>
        <v>45450.374999999578</v>
      </c>
      <c r="C178" s="52">
        <f>Table110[[#This Row],[Hora]]</f>
        <v>7.3750000000000178</v>
      </c>
      <c r="D178" s="92">
        <f>Table14[[#This Row],[Fecha]]</f>
        <v>45450.374999999578</v>
      </c>
      <c r="E178" s="53" t="e">
        <f>Table110[[#This Row],[Viento m/s]]</f>
        <v>#N/A</v>
      </c>
      <c r="F178" s="96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5" t="e">
        <f>VLOOKUP(Table14[[#This Row],[FECHA /HORA]],TBL_CalcDarwin[],44,0)</f>
        <v>#N/A</v>
      </c>
      <c r="I178" s="95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91">
        <f>Table110[[#This Row],[Fecha]]</f>
        <v>45450.416666666242</v>
      </c>
      <c r="C179" s="52">
        <f>Table110[[#This Row],[Hora]]</f>
        <v>7.4166666666666847</v>
      </c>
      <c r="D179" s="92">
        <f>Table14[[#This Row],[Fecha]]</f>
        <v>45450.416666666242</v>
      </c>
      <c r="E179" s="53" t="e">
        <f>Table110[[#This Row],[Viento m/s]]</f>
        <v>#N/A</v>
      </c>
      <c r="F179" s="96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5" t="e">
        <f>VLOOKUP(Table14[[#This Row],[FECHA /HORA]],TBL_CalcDarwin[],44,0)</f>
        <v>#N/A</v>
      </c>
      <c r="I179" s="95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91">
        <f>Table110[[#This Row],[Fecha]]</f>
        <v>45450.458333332906</v>
      </c>
      <c r="C180" s="52">
        <f>Table110[[#This Row],[Hora]]</f>
        <v>7.4583333333333517</v>
      </c>
      <c r="D180" s="92">
        <f>Table14[[#This Row],[Fecha]]</f>
        <v>45450.458333332906</v>
      </c>
      <c r="E180" s="53" t="e">
        <f>Table110[[#This Row],[Viento m/s]]</f>
        <v>#N/A</v>
      </c>
      <c r="F180" s="96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5" t="e">
        <f>VLOOKUP(Table14[[#This Row],[FECHA /HORA]],TBL_CalcDarwin[],44,0)</f>
        <v>#N/A</v>
      </c>
      <c r="I180" s="95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91">
        <f>Table110[[#This Row],[Fecha]]</f>
        <v>45450.499999999571</v>
      </c>
      <c r="C181" s="52">
        <f>Table110[[#This Row],[Hora]]</f>
        <v>7.5000000000000187</v>
      </c>
      <c r="D181" s="92">
        <f>Table14[[#This Row],[Fecha]]</f>
        <v>45450.499999999571</v>
      </c>
      <c r="E181" s="53" t="e">
        <f>Table110[[#This Row],[Viento m/s]]</f>
        <v>#N/A</v>
      </c>
      <c r="F181" s="96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5" t="e">
        <f>VLOOKUP(Table14[[#This Row],[FECHA /HORA]],TBL_CalcDarwin[],44,0)</f>
        <v>#N/A</v>
      </c>
      <c r="I181" s="95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91">
        <f>Table110[[#This Row],[Fecha]]</f>
        <v>45450.541666666235</v>
      </c>
      <c r="C182" s="52">
        <f>Table110[[#This Row],[Hora]]</f>
        <v>7.5416666666666856</v>
      </c>
      <c r="D182" s="92">
        <f>Table14[[#This Row],[Fecha]]</f>
        <v>45450.541666666235</v>
      </c>
      <c r="E182" s="53" t="e">
        <f>Table110[[#This Row],[Viento m/s]]</f>
        <v>#N/A</v>
      </c>
      <c r="F182" s="96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5" t="e">
        <f>VLOOKUP(Table14[[#This Row],[FECHA /HORA]],TBL_CalcDarwin[],44,0)</f>
        <v>#N/A</v>
      </c>
      <c r="I182" s="95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91">
        <f>Table110[[#This Row],[Fecha]]</f>
        <v>45450.583333332899</v>
      </c>
      <c r="C183" s="52">
        <f>Table110[[#This Row],[Hora]]</f>
        <v>7.5833333333333526</v>
      </c>
      <c r="D183" s="92">
        <f>Table14[[#This Row],[Fecha]]</f>
        <v>45450.583333332899</v>
      </c>
      <c r="E183" s="53" t="e">
        <f>Table110[[#This Row],[Viento m/s]]</f>
        <v>#N/A</v>
      </c>
      <c r="F183" s="96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5" t="e">
        <f>VLOOKUP(Table14[[#This Row],[FECHA /HORA]],TBL_CalcDarwin[],44,0)</f>
        <v>#N/A</v>
      </c>
      <c r="I183" s="95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91">
        <f>Table110[[#This Row],[Fecha]]</f>
        <v>45450.624999999563</v>
      </c>
      <c r="C184" s="52">
        <f>Table110[[#This Row],[Hora]]</f>
        <v>7.6250000000000195</v>
      </c>
      <c r="D184" s="92">
        <f>Table14[[#This Row],[Fecha]]</f>
        <v>45450.624999999563</v>
      </c>
      <c r="E184" s="53" t="e">
        <f>Table110[[#This Row],[Viento m/s]]</f>
        <v>#N/A</v>
      </c>
      <c r="F184" s="96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5" t="e">
        <f>VLOOKUP(Table14[[#This Row],[FECHA /HORA]],TBL_CalcDarwin[],44,0)</f>
        <v>#N/A</v>
      </c>
      <c r="I184" s="95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91">
        <f>Table110[[#This Row],[Fecha]]</f>
        <v>45450.666666666228</v>
      </c>
      <c r="C185" s="52">
        <f>Table110[[#This Row],[Hora]]</f>
        <v>7.6666666666666865</v>
      </c>
      <c r="D185" s="92">
        <f>Table14[[#This Row],[Fecha]]</f>
        <v>45450.666666666228</v>
      </c>
      <c r="E185" s="53" t="e">
        <f>Table110[[#This Row],[Viento m/s]]</f>
        <v>#N/A</v>
      </c>
      <c r="F185" s="96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5" t="e">
        <f>VLOOKUP(Table14[[#This Row],[FECHA /HORA]],TBL_CalcDarwin[],44,0)</f>
        <v>#N/A</v>
      </c>
      <c r="I185" s="95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91">
        <f>Table110[[#This Row],[Fecha]]</f>
        <v>45450.708333332892</v>
      </c>
      <c r="C186" s="52">
        <f>Table110[[#This Row],[Hora]]</f>
        <v>7.7083333333333535</v>
      </c>
      <c r="D186" s="92">
        <f>Table14[[#This Row],[Fecha]]</f>
        <v>45450.708333332892</v>
      </c>
      <c r="E186" s="53" t="e">
        <f>Table110[[#This Row],[Viento m/s]]</f>
        <v>#N/A</v>
      </c>
      <c r="F186" s="96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5" t="e">
        <f>VLOOKUP(Table14[[#This Row],[FECHA /HORA]],TBL_CalcDarwin[],44,0)</f>
        <v>#N/A</v>
      </c>
      <c r="I186" s="95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91">
        <f>Table110[[#This Row],[Fecha]]</f>
        <v>45450.749999999556</v>
      </c>
      <c r="C187" s="52">
        <f>Table110[[#This Row],[Hora]]</f>
        <v>7.7500000000000204</v>
      </c>
      <c r="D187" s="92">
        <f>Table14[[#This Row],[Fecha]]</f>
        <v>45450.749999999556</v>
      </c>
      <c r="E187" s="53" t="e">
        <f>Table110[[#This Row],[Viento m/s]]</f>
        <v>#N/A</v>
      </c>
      <c r="F187" s="96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5" t="e">
        <f>VLOOKUP(Table14[[#This Row],[FECHA /HORA]],TBL_CalcDarwin[],44,0)</f>
        <v>#N/A</v>
      </c>
      <c r="I187" s="95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91">
        <f>Table110[[#This Row],[Fecha]]</f>
        <v>45450.79166666622</v>
      </c>
      <c r="C188" s="52">
        <f>Table110[[#This Row],[Hora]]</f>
        <v>7.7916666666666874</v>
      </c>
      <c r="D188" s="92">
        <f>Table14[[#This Row],[Fecha]]</f>
        <v>45450.79166666622</v>
      </c>
      <c r="E188" s="53" t="e">
        <f>Table110[[#This Row],[Viento m/s]]</f>
        <v>#N/A</v>
      </c>
      <c r="F188" s="96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5" t="e">
        <f>VLOOKUP(Table14[[#This Row],[FECHA /HORA]],TBL_CalcDarwin[],44,0)</f>
        <v>#N/A</v>
      </c>
      <c r="I188" s="95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91">
        <f>Table110[[#This Row],[Fecha]]</f>
        <v>45450.833333332885</v>
      </c>
      <c r="C189" s="52">
        <f>Table110[[#This Row],[Hora]]</f>
        <v>7.8333333333333544</v>
      </c>
      <c r="D189" s="92">
        <f>Table14[[#This Row],[Fecha]]</f>
        <v>45450.833333332885</v>
      </c>
      <c r="E189" s="53" t="e">
        <f>Table110[[#This Row],[Viento m/s]]</f>
        <v>#N/A</v>
      </c>
      <c r="F189" s="96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5" t="e">
        <f>VLOOKUP(Table14[[#This Row],[FECHA /HORA]],TBL_CalcDarwin[],44,0)</f>
        <v>#N/A</v>
      </c>
      <c r="I189" s="95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91">
        <f>Table110[[#This Row],[Fecha]]</f>
        <v>45450.874999999549</v>
      </c>
      <c r="C190" s="52">
        <f>Table110[[#This Row],[Hora]]</f>
        <v>7.8750000000000213</v>
      </c>
      <c r="D190" s="92">
        <f>Table14[[#This Row],[Fecha]]</f>
        <v>45450.874999999549</v>
      </c>
      <c r="E190" s="53" t="e">
        <f>Table110[[#This Row],[Viento m/s]]</f>
        <v>#N/A</v>
      </c>
      <c r="F190" s="96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5" t="e">
        <f>VLOOKUP(Table14[[#This Row],[FECHA /HORA]],TBL_CalcDarwin[],44,0)</f>
        <v>#N/A</v>
      </c>
      <c r="I190" s="95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91">
        <f>Table110[[#This Row],[Fecha]]</f>
        <v>45450.916666666213</v>
      </c>
      <c r="C191" s="52">
        <f>Table110[[#This Row],[Hora]]</f>
        <v>7.9166666666666883</v>
      </c>
      <c r="D191" s="92">
        <f>Table14[[#This Row],[Fecha]]</f>
        <v>45450.916666666213</v>
      </c>
      <c r="E191" s="53" t="e">
        <f>Table110[[#This Row],[Viento m/s]]</f>
        <v>#N/A</v>
      </c>
      <c r="F191" s="96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5" t="e">
        <f>VLOOKUP(Table14[[#This Row],[FECHA /HORA]],TBL_CalcDarwin[],44,0)</f>
        <v>#N/A</v>
      </c>
      <c r="I191" s="95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91">
        <f>Table110[[#This Row],[Fecha]]</f>
        <v>45450.958333332877</v>
      </c>
      <c r="C192" s="52">
        <f>Table110[[#This Row],[Hora]]</f>
        <v>7.9583333333333552</v>
      </c>
      <c r="D192" s="92">
        <f>Table14[[#This Row],[Fecha]]</f>
        <v>45450.958333332877</v>
      </c>
      <c r="E192" s="53" t="e">
        <f>Table110[[#This Row],[Viento m/s]]</f>
        <v>#N/A</v>
      </c>
      <c r="F192" s="96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5" t="e">
        <f>VLOOKUP(Table14[[#This Row],[FECHA /HORA]],TBL_CalcDarwin[],44,0)</f>
        <v>#N/A</v>
      </c>
      <c r="I192" s="95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91">
        <f>Table110[[#This Row],[Fecha]]</f>
        <v>45450.999999999542</v>
      </c>
      <c r="C193" s="52">
        <f>Table110[[#This Row],[Hora]]</f>
        <v>8.0000000000000213</v>
      </c>
      <c r="D193" s="92">
        <f>Table14[[#This Row],[Fecha]]</f>
        <v>45450.999999999542</v>
      </c>
      <c r="E193" s="53" t="e">
        <f>Table110[[#This Row],[Viento m/s]]</f>
        <v>#N/A</v>
      </c>
      <c r="F193" s="96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5" t="e">
        <f>VLOOKUP(Table14[[#This Row],[FECHA /HORA]],TBL_CalcDarwin[],44,0)</f>
        <v>#N/A</v>
      </c>
      <c r="I193" s="95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91">
        <f>Table110[[#This Row],[Fecha]]</f>
        <v>45451.041666666206</v>
      </c>
      <c r="C194" s="52">
        <f>Table110[[#This Row],[Hora]]</f>
        <v>8.0416666666666874</v>
      </c>
      <c r="D194" s="92">
        <f>Table14[[#This Row],[Fecha]]</f>
        <v>45451.041666666206</v>
      </c>
      <c r="E194" s="53" t="e">
        <f>Table110[[#This Row],[Viento m/s]]</f>
        <v>#N/A</v>
      </c>
      <c r="F194" s="97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5" t="e">
        <f>VLOOKUP(Table14[[#This Row],[FECHA /HORA]],TBL_CalcDarwin[],44,0)</f>
        <v>#N/A</v>
      </c>
      <c r="I194" s="95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91">
        <f>Table110[[#This Row],[Fecha]]</f>
        <v>45451.08333333287</v>
      </c>
      <c r="C195" s="52">
        <f>Table110[[#This Row],[Hora]]</f>
        <v>8.0833333333333535</v>
      </c>
      <c r="D195" s="92">
        <f>Table14[[#This Row],[Fecha]]</f>
        <v>45451.08333333287</v>
      </c>
      <c r="E195" s="53" t="e">
        <f>Table110[[#This Row],[Viento m/s]]</f>
        <v>#N/A</v>
      </c>
      <c r="F195" s="96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5" t="e">
        <f>VLOOKUP(Table14[[#This Row],[FECHA /HORA]],TBL_CalcDarwin[],44,0)</f>
        <v>#N/A</v>
      </c>
      <c r="I195" s="95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91">
        <f>Table110[[#This Row],[Fecha]]</f>
        <v>45451.124999999534</v>
      </c>
      <c r="C196" s="52">
        <f>Table110[[#This Row],[Hora]]</f>
        <v>8.1250000000000195</v>
      </c>
      <c r="D196" s="92">
        <f>Table14[[#This Row],[Fecha]]</f>
        <v>45451.124999999534</v>
      </c>
      <c r="E196" s="53" t="e">
        <f>Table110[[#This Row],[Viento m/s]]</f>
        <v>#N/A</v>
      </c>
      <c r="F196" s="96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5" t="e">
        <f>VLOOKUP(Table14[[#This Row],[FECHA /HORA]],TBL_CalcDarwin[],44,0)</f>
        <v>#N/A</v>
      </c>
      <c r="I196" s="95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91">
        <f>Table110[[#This Row],[Fecha]]</f>
        <v>45451.166666666199</v>
      </c>
      <c r="C197" s="52">
        <f>Table110[[#This Row],[Hora]]</f>
        <v>8.1666666666666856</v>
      </c>
      <c r="D197" s="92">
        <f>Table14[[#This Row],[Fecha]]</f>
        <v>45451.166666666199</v>
      </c>
      <c r="E197" s="53" t="e">
        <f>Table110[[#This Row],[Viento m/s]]</f>
        <v>#N/A</v>
      </c>
      <c r="F197" s="96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5" t="e">
        <f>VLOOKUP(Table14[[#This Row],[FECHA /HORA]],TBL_CalcDarwin[],44,0)</f>
        <v>#N/A</v>
      </c>
      <c r="I197" s="95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91">
        <f>Table110[[#This Row],[Fecha]]</f>
        <v>45451.208333332863</v>
      </c>
      <c r="C198" s="52">
        <f>Table110[[#This Row],[Hora]]</f>
        <v>8.2083333333333517</v>
      </c>
      <c r="D198" s="92">
        <f>Table14[[#This Row],[Fecha]]</f>
        <v>45451.208333332863</v>
      </c>
      <c r="E198" s="53" t="e">
        <f>Table110[[#This Row],[Viento m/s]]</f>
        <v>#N/A</v>
      </c>
      <c r="F198" s="96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5" t="e">
        <f>VLOOKUP(Table14[[#This Row],[FECHA /HORA]],TBL_CalcDarwin[],44,0)</f>
        <v>#N/A</v>
      </c>
      <c r="I198" s="95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91">
        <f>Table110[[#This Row],[Fecha]]</f>
        <v>45451.249999999527</v>
      </c>
      <c r="C199" s="52">
        <f>Table110[[#This Row],[Hora]]</f>
        <v>8.2500000000000178</v>
      </c>
      <c r="D199" s="92">
        <f>Table14[[#This Row],[Fecha]]</f>
        <v>45451.249999999527</v>
      </c>
      <c r="E199" s="53" t="e">
        <f>Table110[[#This Row],[Viento m/s]]</f>
        <v>#N/A</v>
      </c>
      <c r="F199" s="96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5" t="e">
        <f>VLOOKUP(Table14[[#This Row],[FECHA /HORA]],TBL_CalcDarwin[],44,0)</f>
        <v>#N/A</v>
      </c>
      <c r="I199" s="95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91">
        <f>Table110[[#This Row],[Fecha]]</f>
        <v>45451.291666666191</v>
      </c>
      <c r="C200" s="52">
        <f>Table110[[#This Row],[Hora]]</f>
        <v>8.2916666666666838</v>
      </c>
      <c r="D200" s="92">
        <f>Table14[[#This Row],[Fecha]]</f>
        <v>45451.291666666191</v>
      </c>
      <c r="E200" s="53" t="e">
        <f>Table110[[#This Row],[Viento m/s]]</f>
        <v>#N/A</v>
      </c>
      <c r="F200" s="96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5" t="e">
        <f>VLOOKUP(Table14[[#This Row],[FECHA /HORA]],TBL_CalcDarwin[],44,0)</f>
        <v>#N/A</v>
      </c>
      <c r="I200" s="95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91">
        <f>Table110[[#This Row],[Fecha]]</f>
        <v>45451.333333332856</v>
      </c>
      <c r="C201" s="52">
        <f>Table110[[#This Row],[Hora]]</f>
        <v>8.3333333333333499</v>
      </c>
      <c r="D201" s="92">
        <f>Table14[[#This Row],[Fecha]]</f>
        <v>45451.333333332856</v>
      </c>
      <c r="E201" s="53" t="e">
        <f>Table110[[#This Row],[Viento m/s]]</f>
        <v>#N/A</v>
      </c>
      <c r="F201" s="96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5" t="e">
        <f>VLOOKUP(Table14[[#This Row],[FECHA /HORA]],TBL_CalcDarwin[],44,0)</f>
        <v>#N/A</v>
      </c>
      <c r="I201" s="95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91">
        <f>Table110[[#This Row],[Fecha]]</f>
        <v>45451.37499999952</v>
      </c>
      <c r="C202" s="52">
        <f>Table110[[#This Row],[Hora]]</f>
        <v>8.375000000000016</v>
      </c>
      <c r="D202" s="92">
        <f>Table14[[#This Row],[Fecha]]</f>
        <v>45451.37499999952</v>
      </c>
      <c r="E202" s="53" t="e">
        <f>Table110[[#This Row],[Viento m/s]]</f>
        <v>#N/A</v>
      </c>
      <c r="F202" s="96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5" t="e">
        <f>VLOOKUP(Table14[[#This Row],[FECHA /HORA]],TBL_CalcDarwin[],44,0)</f>
        <v>#N/A</v>
      </c>
      <c r="I202" s="95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91">
        <f>Table110[[#This Row],[Fecha]]</f>
        <v>45451.416666666184</v>
      </c>
      <c r="C203" s="52">
        <f>Table110[[#This Row],[Hora]]</f>
        <v>8.4166666666666821</v>
      </c>
      <c r="D203" s="92">
        <f>Table14[[#This Row],[Fecha]]</f>
        <v>45451.416666666184</v>
      </c>
      <c r="E203" s="53" t="e">
        <f>Table110[[#This Row],[Viento m/s]]</f>
        <v>#N/A</v>
      </c>
      <c r="F203" s="96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5" t="e">
        <f>VLOOKUP(Table14[[#This Row],[FECHA /HORA]],TBL_CalcDarwin[],44,0)</f>
        <v>#N/A</v>
      </c>
      <c r="I203" s="95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91">
        <f>Table110[[#This Row],[Fecha]]</f>
        <v>45451.458333332848</v>
      </c>
      <c r="C204" s="52">
        <f>Table110[[#This Row],[Hora]]</f>
        <v>8.4583333333333481</v>
      </c>
      <c r="D204" s="92">
        <f>Table14[[#This Row],[Fecha]]</f>
        <v>45451.458333332848</v>
      </c>
      <c r="E204" s="53" t="e">
        <f>Table110[[#This Row],[Viento m/s]]</f>
        <v>#N/A</v>
      </c>
      <c r="F204" s="96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5" t="e">
        <f>VLOOKUP(Table14[[#This Row],[FECHA /HORA]],TBL_CalcDarwin[],44,0)</f>
        <v>#N/A</v>
      </c>
      <c r="I204" s="95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91">
        <f>Table110[[#This Row],[Fecha]]</f>
        <v>45451.499999999513</v>
      </c>
      <c r="C205" s="52">
        <f>Table110[[#This Row],[Hora]]</f>
        <v>8.5000000000000142</v>
      </c>
      <c r="D205" s="92">
        <f>Table14[[#This Row],[Fecha]]</f>
        <v>45451.499999999513</v>
      </c>
      <c r="E205" s="53" t="e">
        <f>Table110[[#This Row],[Viento m/s]]</f>
        <v>#N/A</v>
      </c>
      <c r="F205" s="96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5" t="e">
        <f>VLOOKUP(Table14[[#This Row],[FECHA /HORA]],TBL_CalcDarwin[],44,0)</f>
        <v>#N/A</v>
      </c>
      <c r="I205" s="95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91">
        <f>Table110[[#This Row],[Fecha]]</f>
        <v>45451.541666666177</v>
      </c>
      <c r="C206" s="52">
        <f>Table110[[#This Row],[Hora]]</f>
        <v>8.5416666666666803</v>
      </c>
      <c r="D206" s="92">
        <f>Table14[[#This Row],[Fecha]]</f>
        <v>45451.541666666177</v>
      </c>
      <c r="E206" s="53" t="e">
        <f>Table110[[#This Row],[Viento m/s]]</f>
        <v>#N/A</v>
      </c>
      <c r="F206" s="96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5" t="e">
        <f>VLOOKUP(Table14[[#This Row],[FECHA /HORA]],TBL_CalcDarwin[],44,0)</f>
        <v>#N/A</v>
      </c>
      <c r="I206" s="95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91">
        <f>Table110[[#This Row],[Fecha]]</f>
        <v>45451.583333332841</v>
      </c>
      <c r="C207" s="52">
        <f>Table110[[#This Row],[Hora]]</f>
        <v>8.5833333333333464</v>
      </c>
      <c r="D207" s="92">
        <f>Table14[[#This Row],[Fecha]]</f>
        <v>45451.583333332841</v>
      </c>
      <c r="E207" s="53" t="e">
        <f>Table110[[#This Row],[Viento m/s]]</f>
        <v>#N/A</v>
      </c>
      <c r="F207" s="96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5" t="e">
        <f>VLOOKUP(Table14[[#This Row],[FECHA /HORA]],TBL_CalcDarwin[],44,0)</f>
        <v>#N/A</v>
      </c>
      <c r="I207" s="95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91">
        <f>Table110[[#This Row],[Fecha]]</f>
        <v>45451.624999999505</v>
      </c>
      <c r="C208" s="52">
        <f>Table110[[#This Row],[Hora]]</f>
        <v>8.6250000000000124</v>
      </c>
      <c r="D208" s="92">
        <f>Table14[[#This Row],[Fecha]]</f>
        <v>45451.624999999505</v>
      </c>
      <c r="E208" s="53" t="e">
        <f>Table110[[#This Row],[Viento m/s]]</f>
        <v>#N/A</v>
      </c>
      <c r="F208" s="96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5" t="e">
        <f>VLOOKUP(Table14[[#This Row],[FECHA /HORA]],TBL_CalcDarwin[],44,0)</f>
        <v>#N/A</v>
      </c>
      <c r="I208" s="95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91">
        <f>Table110[[#This Row],[Fecha]]</f>
        <v>45451.666666666169</v>
      </c>
      <c r="C209" s="52">
        <f>Table110[[#This Row],[Hora]]</f>
        <v>8.6666666666666785</v>
      </c>
      <c r="D209" s="92">
        <f>Table14[[#This Row],[Fecha]]</f>
        <v>45451.666666666169</v>
      </c>
      <c r="E209" s="53" t="e">
        <f>Table110[[#This Row],[Viento m/s]]</f>
        <v>#N/A</v>
      </c>
      <c r="F209" s="96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5" t="e">
        <f>VLOOKUP(Table14[[#This Row],[FECHA /HORA]],TBL_CalcDarwin[],44,0)</f>
        <v>#N/A</v>
      </c>
      <c r="I209" s="95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91">
        <f>Table110[[#This Row],[Fecha]]</f>
        <v>45451.708333332834</v>
      </c>
      <c r="C210" s="52">
        <f>Table110[[#This Row],[Hora]]</f>
        <v>8.7083333333333446</v>
      </c>
      <c r="D210" s="92">
        <f>Table14[[#This Row],[Fecha]]</f>
        <v>45451.708333332834</v>
      </c>
      <c r="E210" s="53" t="e">
        <f>Table110[[#This Row],[Viento m/s]]</f>
        <v>#N/A</v>
      </c>
      <c r="F210" s="96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5" t="e">
        <f>VLOOKUP(Table14[[#This Row],[FECHA /HORA]],TBL_CalcDarwin[],44,0)</f>
        <v>#N/A</v>
      </c>
      <c r="I210" s="95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91">
        <f>Table110[[#This Row],[Fecha]]</f>
        <v>45451.749999999498</v>
      </c>
      <c r="C211" s="52">
        <f>Table110[[#This Row],[Hora]]</f>
        <v>8.7500000000000107</v>
      </c>
      <c r="D211" s="92">
        <f>Table14[[#This Row],[Fecha]]</f>
        <v>45451.749999999498</v>
      </c>
      <c r="E211" s="53" t="e">
        <f>Table110[[#This Row],[Viento m/s]]</f>
        <v>#N/A</v>
      </c>
      <c r="F211" s="96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5" t="e">
        <f>VLOOKUP(Table14[[#This Row],[FECHA /HORA]],TBL_CalcDarwin[],44,0)</f>
        <v>#N/A</v>
      </c>
      <c r="I211" s="95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91">
        <f>Table110[[#This Row],[Fecha]]</f>
        <v>45451.791666666162</v>
      </c>
      <c r="C212" s="52">
        <f>Table110[[#This Row],[Hora]]</f>
        <v>8.7916666666666767</v>
      </c>
      <c r="D212" s="92">
        <f>Table14[[#This Row],[Fecha]]</f>
        <v>45451.791666666162</v>
      </c>
      <c r="E212" s="53" t="e">
        <f>Table110[[#This Row],[Viento m/s]]</f>
        <v>#N/A</v>
      </c>
      <c r="F212" s="96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5" t="e">
        <f>VLOOKUP(Table14[[#This Row],[FECHA /HORA]],TBL_CalcDarwin[],44,0)</f>
        <v>#N/A</v>
      </c>
      <c r="I212" s="95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91">
        <f>Table110[[#This Row],[Fecha]]</f>
        <v>45451.833333332826</v>
      </c>
      <c r="C213" s="52">
        <f>Table110[[#This Row],[Hora]]</f>
        <v>8.8333333333333428</v>
      </c>
      <c r="D213" s="92">
        <f>Table14[[#This Row],[Fecha]]</f>
        <v>45451.833333332826</v>
      </c>
      <c r="E213" s="53" t="e">
        <f>Table110[[#This Row],[Viento m/s]]</f>
        <v>#N/A</v>
      </c>
      <c r="F213" s="96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5" t="e">
        <f>VLOOKUP(Table14[[#This Row],[FECHA /HORA]],TBL_CalcDarwin[],44,0)</f>
        <v>#N/A</v>
      </c>
      <c r="I213" s="95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91">
        <f>Table110[[#This Row],[Fecha]]</f>
        <v>45451.874999999491</v>
      </c>
      <c r="C214" s="52">
        <f>Table110[[#This Row],[Hora]]</f>
        <v>8.8750000000000089</v>
      </c>
      <c r="D214" s="92">
        <f>Table14[[#This Row],[Fecha]]</f>
        <v>45451.874999999491</v>
      </c>
      <c r="E214" s="53" t="e">
        <f>Table110[[#This Row],[Viento m/s]]</f>
        <v>#N/A</v>
      </c>
      <c r="F214" s="96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5" t="e">
        <f>VLOOKUP(Table14[[#This Row],[FECHA /HORA]],TBL_CalcDarwin[],44,0)</f>
        <v>#N/A</v>
      </c>
      <c r="I214" s="95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91">
        <f>Table110[[#This Row],[Fecha]]</f>
        <v>45451.916666666155</v>
      </c>
      <c r="C215" s="52">
        <f>Table110[[#This Row],[Hora]]</f>
        <v>8.916666666666675</v>
      </c>
      <c r="D215" s="92">
        <f>Table14[[#This Row],[Fecha]]</f>
        <v>45451.916666666155</v>
      </c>
      <c r="E215" s="53" t="e">
        <f>Table110[[#This Row],[Viento m/s]]</f>
        <v>#N/A</v>
      </c>
      <c r="F215" s="96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5" t="e">
        <f>VLOOKUP(Table14[[#This Row],[FECHA /HORA]],TBL_CalcDarwin[],44,0)</f>
        <v>#N/A</v>
      </c>
      <c r="I215" s="95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91">
        <f>Table110[[#This Row],[Fecha]]</f>
        <v>45451.958333332819</v>
      </c>
      <c r="C216" s="52">
        <f>Table110[[#This Row],[Hora]]</f>
        <v>8.958333333333341</v>
      </c>
      <c r="D216" s="92">
        <f>Table14[[#This Row],[Fecha]]</f>
        <v>45451.958333332819</v>
      </c>
      <c r="E216" s="53" t="e">
        <f>Table110[[#This Row],[Viento m/s]]</f>
        <v>#N/A</v>
      </c>
      <c r="F216" s="96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5" t="e">
        <f>VLOOKUP(Table14[[#This Row],[FECHA /HORA]],TBL_CalcDarwin[],44,0)</f>
        <v>#N/A</v>
      </c>
      <c r="I216" s="95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91">
        <f>Table110[[#This Row],[Fecha]]</f>
        <v>45451.999999999483</v>
      </c>
      <c r="C217" s="52">
        <f>Table110[[#This Row],[Hora]]</f>
        <v>9.0000000000000071</v>
      </c>
      <c r="D217" s="92">
        <f>Table14[[#This Row],[Fecha]]</f>
        <v>45451.999999999483</v>
      </c>
      <c r="E217" s="53" t="e">
        <f>Table110[[#This Row],[Viento m/s]]</f>
        <v>#N/A</v>
      </c>
      <c r="F217" s="96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5" t="e">
        <f>VLOOKUP(Table14[[#This Row],[FECHA /HORA]],TBL_CalcDarwin[],44,0)</f>
        <v>#N/A</v>
      </c>
      <c r="I217" s="95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91">
        <f>Table110[[#This Row],[Fecha]]</f>
        <v>45452.041666666148</v>
      </c>
      <c r="C218" s="52">
        <f>Table110[[#This Row],[Hora]]</f>
        <v>9.0416666666666732</v>
      </c>
      <c r="D218" s="92">
        <f>Table14[[#This Row],[Fecha]]</f>
        <v>45452.041666666148</v>
      </c>
      <c r="E218" s="53" t="e">
        <f>Table110[[#This Row],[Viento m/s]]</f>
        <v>#N/A</v>
      </c>
      <c r="F218" s="96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5" t="e">
        <f>VLOOKUP(Table14[[#This Row],[FECHA /HORA]],TBL_CalcDarwin[],44,0)</f>
        <v>#N/A</v>
      </c>
      <c r="I218" s="95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91">
        <f>Table110[[#This Row],[Fecha]]</f>
        <v>45452.083333332812</v>
      </c>
      <c r="C219" s="52">
        <f>Table110[[#This Row],[Hora]]</f>
        <v>9.0833333333333393</v>
      </c>
      <c r="D219" s="92">
        <f>Table14[[#This Row],[Fecha]]</f>
        <v>45452.083333332812</v>
      </c>
      <c r="E219" s="53" t="e">
        <f>Table110[[#This Row],[Viento m/s]]</f>
        <v>#N/A</v>
      </c>
      <c r="F219" s="96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5" t="e">
        <f>VLOOKUP(Table14[[#This Row],[FECHA /HORA]],TBL_CalcDarwin[],44,0)</f>
        <v>#N/A</v>
      </c>
      <c r="I219" s="95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91">
        <f>Table110[[#This Row],[Fecha]]</f>
        <v>45452.124999999476</v>
      </c>
      <c r="C220" s="52">
        <f>Table110[[#This Row],[Hora]]</f>
        <v>9.1250000000000053</v>
      </c>
      <c r="D220" s="92">
        <f>Table14[[#This Row],[Fecha]]</f>
        <v>45452.124999999476</v>
      </c>
      <c r="E220" s="53" t="e">
        <f>Table110[[#This Row],[Viento m/s]]</f>
        <v>#N/A</v>
      </c>
      <c r="F220" s="96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5" t="e">
        <f>VLOOKUP(Table14[[#This Row],[FECHA /HORA]],TBL_CalcDarwin[],44,0)</f>
        <v>#N/A</v>
      </c>
      <c r="I220" s="95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91">
        <f>Table110[[#This Row],[Fecha]]</f>
        <v>45452.16666666614</v>
      </c>
      <c r="C221" s="52">
        <f>Table110[[#This Row],[Hora]]</f>
        <v>9.1666666666666714</v>
      </c>
      <c r="D221" s="92">
        <f>Table14[[#This Row],[Fecha]]</f>
        <v>45452.16666666614</v>
      </c>
      <c r="E221" s="53" t="e">
        <f>Table110[[#This Row],[Viento m/s]]</f>
        <v>#N/A</v>
      </c>
      <c r="F221" s="96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5" t="e">
        <f>VLOOKUP(Table14[[#This Row],[FECHA /HORA]],TBL_CalcDarwin[],44,0)</f>
        <v>#N/A</v>
      </c>
      <c r="I221" s="95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91">
        <f>Table110[[#This Row],[Fecha]]</f>
        <v>45452.208333332805</v>
      </c>
      <c r="C222" s="52">
        <f>Table110[[#This Row],[Hora]]</f>
        <v>9.2083333333333375</v>
      </c>
      <c r="D222" s="92">
        <f>Table14[[#This Row],[Fecha]]</f>
        <v>45452.208333332805</v>
      </c>
      <c r="E222" s="53" t="e">
        <f>Table110[[#This Row],[Viento m/s]]</f>
        <v>#N/A</v>
      </c>
      <c r="F222" s="96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5" t="e">
        <f>VLOOKUP(Table14[[#This Row],[FECHA /HORA]],TBL_CalcDarwin[],44,0)</f>
        <v>#N/A</v>
      </c>
      <c r="I222" s="95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91">
        <f>Table110[[#This Row],[Fecha]]</f>
        <v>45452.249999999469</v>
      </c>
      <c r="C223" s="52">
        <f>Table110[[#This Row],[Hora]]</f>
        <v>9.2500000000000036</v>
      </c>
      <c r="D223" s="92">
        <f>Table14[[#This Row],[Fecha]]</f>
        <v>45452.249999999469</v>
      </c>
      <c r="E223" s="53" t="e">
        <f>Table110[[#This Row],[Viento m/s]]</f>
        <v>#N/A</v>
      </c>
      <c r="F223" s="96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5" t="e">
        <f>VLOOKUP(Table14[[#This Row],[FECHA /HORA]],TBL_CalcDarwin[],44,0)</f>
        <v>#N/A</v>
      </c>
      <c r="I223" s="95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91">
        <f>Table110[[#This Row],[Fecha]]</f>
        <v>45452.291666666133</v>
      </c>
      <c r="C224" s="52">
        <f>Table110[[#This Row],[Hora]]</f>
        <v>9.2916666666666696</v>
      </c>
      <c r="D224" s="92">
        <f>Table14[[#This Row],[Fecha]]</f>
        <v>45452.291666666133</v>
      </c>
      <c r="E224" s="53" t="e">
        <f>Table110[[#This Row],[Viento m/s]]</f>
        <v>#N/A</v>
      </c>
      <c r="F224" s="96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5" t="e">
        <f>VLOOKUP(Table14[[#This Row],[FECHA /HORA]],TBL_CalcDarwin[],44,0)</f>
        <v>#N/A</v>
      </c>
      <c r="I224" s="95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91">
        <f>Table110[[#This Row],[Fecha]]</f>
        <v>45452.333333332797</v>
      </c>
      <c r="C225" s="52">
        <f>Table110[[#This Row],[Hora]]</f>
        <v>9.3333333333333357</v>
      </c>
      <c r="D225" s="92">
        <f>Table14[[#This Row],[Fecha]]</f>
        <v>45452.333333332797</v>
      </c>
      <c r="E225" s="53" t="e">
        <f>Table110[[#This Row],[Viento m/s]]</f>
        <v>#N/A</v>
      </c>
      <c r="F225" s="96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5" t="e">
        <f>VLOOKUP(Table14[[#This Row],[FECHA /HORA]],TBL_CalcDarwin[],44,0)</f>
        <v>#N/A</v>
      </c>
      <c r="I225" s="95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91">
        <f>Table110[[#This Row],[Fecha]]</f>
        <v>45452.374999999462</v>
      </c>
      <c r="C226" s="52">
        <f>Table110[[#This Row],[Hora]]</f>
        <v>9.3750000000000018</v>
      </c>
      <c r="D226" s="92">
        <f>Table14[[#This Row],[Fecha]]</f>
        <v>45452.374999999462</v>
      </c>
      <c r="E226" s="53" t="e">
        <f>Table110[[#This Row],[Viento m/s]]</f>
        <v>#N/A</v>
      </c>
      <c r="F226" s="96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5" t="e">
        <f>VLOOKUP(Table14[[#This Row],[FECHA /HORA]],TBL_CalcDarwin[],44,0)</f>
        <v>#N/A</v>
      </c>
      <c r="I226" s="95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91">
        <f>Table110[[#This Row],[Fecha]]</f>
        <v>45452.416666666126</v>
      </c>
      <c r="C227" s="52">
        <f>Table110[[#This Row],[Hora]]</f>
        <v>9.4166666666666679</v>
      </c>
      <c r="D227" s="92">
        <f>Table14[[#This Row],[Fecha]]</f>
        <v>45452.416666666126</v>
      </c>
      <c r="E227" s="53" t="e">
        <f>Table110[[#This Row],[Viento m/s]]</f>
        <v>#N/A</v>
      </c>
      <c r="F227" s="96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5" t="e">
        <f>VLOOKUP(Table14[[#This Row],[FECHA /HORA]],TBL_CalcDarwin[],44,0)</f>
        <v>#N/A</v>
      </c>
      <c r="I227" s="95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91">
        <f>Table110[[#This Row],[Fecha]]</f>
        <v>45452.45833333279</v>
      </c>
      <c r="C228" s="52">
        <f>Table110[[#This Row],[Hora]]</f>
        <v>9.4583333333333339</v>
      </c>
      <c r="D228" s="92">
        <f>Table14[[#This Row],[Fecha]]</f>
        <v>45452.45833333279</v>
      </c>
      <c r="E228" s="53" t="e">
        <f>Table110[[#This Row],[Viento m/s]]</f>
        <v>#N/A</v>
      </c>
      <c r="F228" s="96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5" t="e">
        <f>VLOOKUP(Table14[[#This Row],[FECHA /HORA]],TBL_CalcDarwin[],44,0)</f>
        <v>#N/A</v>
      </c>
      <c r="I228" s="95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ABRIL Espencer (ENGIE Energía Perú S.A.)</cp:lastModifiedBy>
  <dcterms:created xsi:type="dcterms:W3CDTF">2023-05-09T14:33:27Z</dcterms:created>
  <dcterms:modified xsi:type="dcterms:W3CDTF">2024-06-01T05:18:54Z</dcterms:modified>
</cp:coreProperties>
</file>